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sktop\DALMOLINCARPETA MUNICIPALIDAD\2016PRES+TGI\"/>
    </mc:Choice>
  </mc:AlternateContent>
  <bookViews>
    <workbookView xWindow="240" yWindow="75" windowWidth="20055" windowHeight="7935"/>
  </bookViews>
  <sheets>
    <sheet name="INDICE" sheetId="3" r:id="rId1"/>
    <sheet name="CALCULODERECURSOS" sheetId="1" r:id="rId2"/>
    <sheet name="EJECICIONEROGACIONES" sheetId="2" r:id="rId3"/>
    <sheet name="COMPARATIVAANUAL" sheetId="4" r:id="rId4"/>
    <sheet name="GASTOSPRINCIPALESCUENTAS" sheetId="5" r:id="rId5"/>
    <sheet name="DETALLEBIENESYSERVICIOS" sheetId="6" r:id="rId6"/>
    <sheet name="PRINC.TASAS" sheetId="7" r:id="rId7"/>
    <sheet name="COMPRATIVAMENSUAL" sheetId="8" r:id="rId8"/>
  </sheets>
  <externalReferences>
    <externalReference r:id="rId9"/>
    <externalReference r:id="rId10"/>
  </externalReferences>
  <definedNames>
    <definedName name="GASTO">INDICE!$B$34:$B$37</definedName>
  </definedNames>
  <calcPr calcId="152511"/>
  <fileRecoveryPr repairLoad="1"/>
</workbook>
</file>

<file path=xl/calcChain.xml><?xml version="1.0" encoding="utf-8"?>
<calcChain xmlns="http://schemas.openxmlformats.org/spreadsheetml/2006/main">
  <c r="G25" i="3" l="1"/>
  <c r="F25" i="3"/>
  <c r="E25" i="3"/>
  <c r="D25" i="3"/>
  <c r="C25" i="3"/>
  <c r="B25" i="3"/>
  <c r="G24" i="3"/>
  <c r="F24" i="3"/>
  <c r="E24" i="3"/>
  <c r="D24" i="3"/>
  <c r="C24" i="3"/>
  <c r="B24" i="3"/>
  <c r="A25" i="3"/>
  <c r="A24" i="3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A140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A139" i="8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6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48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42" i="6" s="1"/>
  <c r="Q2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5" i="6"/>
  <c r="Q22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2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5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C42" i="6"/>
  <c r="J42" i="6"/>
  <c r="I42" i="6"/>
  <c r="H42" i="6"/>
  <c r="G42" i="6"/>
  <c r="F42" i="6"/>
  <c r="E42" i="6"/>
  <c r="D42" i="6"/>
  <c r="K41" i="6"/>
  <c r="M41" i="6" s="1"/>
  <c r="N41" i="6" s="1"/>
  <c r="K40" i="6"/>
  <c r="M40" i="6" s="1"/>
  <c r="N40" i="6" s="1"/>
  <c r="K39" i="6"/>
  <c r="M39" i="6" s="1"/>
  <c r="N39" i="6" s="1"/>
  <c r="K38" i="6"/>
  <c r="M38" i="6" s="1"/>
  <c r="N38" i="6" s="1"/>
  <c r="K37" i="6"/>
  <c r="M37" i="6" s="1"/>
  <c r="N37" i="6" s="1"/>
  <c r="K36" i="6"/>
  <c r="M36" i="6" s="1"/>
  <c r="N36" i="6" s="1"/>
  <c r="K35" i="6"/>
  <c r="M35" i="6" s="1"/>
  <c r="N35" i="6" s="1"/>
  <c r="K34" i="6"/>
  <c r="M34" i="6" s="1"/>
  <c r="N34" i="6" s="1"/>
  <c r="K33" i="6"/>
  <c r="M33" i="6" s="1"/>
  <c r="N33" i="6" s="1"/>
  <c r="K32" i="6"/>
  <c r="M32" i="6" s="1"/>
  <c r="N32" i="6" s="1"/>
  <c r="K31" i="6"/>
  <c r="M31" i="6" s="1"/>
  <c r="N31" i="6" s="1"/>
  <c r="K30" i="6"/>
  <c r="M30" i="6" s="1"/>
  <c r="N30" i="6" s="1"/>
  <c r="K29" i="6"/>
  <c r="M29" i="6" s="1"/>
  <c r="N29" i="6" s="1"/>
  <c r="K28" i="6"/>
  <c r="M28" i="6" s="1"/>
  <c r="N28" i="6" s="1"/>
  <c r="K27" i="6"/>
  <c r="M27" i="6" s="1"/>
  <c r="N27" i="6" s="1"/>
  <c r="K26" i="6"/>
  <c r="M26" i="6" s="1"/>
  <c r="N26" i="6" s="1"/>
  <c r="K25" i="6"/>
  <c r="M25" i="6" s="1"/>
  <c r="N25" i="6" s="1"/>
  <c r="C22" i="6"/>
  <c r="J22" i="6"/>
  <c r="I22" i="6"/>
  <c r="H22" i="6"/>
  <c r="G22" i="6"/>
  <c r="F22" i="6"/>
  <c r="E22" i="6"/>
  <c r="D22" i="6"/>
  <c r="K21" i="6"/>
  <c r="M21" i="6" s="1"/>
  <c r="N21" i="6" s="1"/>
  <c r="K20" i="6"/>
  <c r="M20" i="6" s="1"/>
  <c r="N20" i="6" s="1"/>
  <c r="K19" i="6"/>
  <c r="M19" i="6" s="1"/>
  <c r="N19" i="6" s="1"/>
  <c r="K18" i="6"/>
  <c r="M18" i="6" s="1"/>
  <c r="N18" i="6" s="1"/>
  <c r="K17" i="6"/>
  <c r="M17" i="6" s="1"/>
  <c r="N17" i="6" s="1"/>
  <c r="K16" i="6"/>
  <c r="M16" i="6" s="1"/>
  <c r="N16" i="6" s="1"/>
  <c r="K15" i="6"/>
  <c r="M15" i="6" s="1"/>
  <c r="N15" i="6" s="1"/>
  <c r="K14" i="6"/>
  <c r="M14" i="6" s="1"/>
  <c r="N14" i="6" s="1"/>
  <c r="K13" i="6"/>
  <c r="M13" i="6" s="1"/>
  <c r="N13" i="6" s="1"/>
  <c r="K12" i="6"/>
  <c r="M12" i="6" s="1"/>
  <c r="N12" i="6" s="1"/>
  <c r="K11" i="6"/>
  <c r="M11" i="6" s="1"/>
  <c r="N11" i="6" s="1"/>
  <c r="K10" i="6"/>
  <c r="M10" i="6" s="1"/>
  <c r="N10" i="6" s="1"/>
  <c r="K9" i="6"/>
  <c r="M9" i="6" s="1"/>
  <c r="N9" i="6" s="1"/>
  <c r="K8" i="6"/>
  <c r="M8" i="6" s="1"/>
  <c r="N8" i="6" s="1"/>
  <c r="K7" i="6"/>
  <c r="M7" i="6" s="1"/>
  <c r="N7" i="6" s="1"/>
  <c r="K6" i="6"/>
  <c r="M6" i="6" s="1"/>
  <c r="N6" i="6" s="1"/>
  <c r="K5" i="6"/>
  <c r="M5" i="6" s="1"/>
  <c r="N5" i="6" s="1"/>
  <c r="Q43" i="6" l="1"/>
  <c r="D43" i="6"/>
  <c r="J43" i="6"/>
  <c r="J83" i="6" s="1"/>
  <c r="J77" i="6"/>
  <c r="J69" i="6"/>
  <c r="J58" i="6"/>
  <c r="J61" i="6"/>
  <c r="J53" i="6"/>
  <c r="J82" i="6"/>
  <c r="J74" i="6"/>
  <c r="J65" i="6"/>
  <c r="K22" i="6"/>
  <c r="M22" i="6" s="1"/>
  <c r="N22" i="6" s="1"/>
  <c r="K42" i="6"/>
  <c r="M42" i="6" s="1"/>
  <c r="N42" i="6" s="1"/>
  <c r="E43" i="6"/>
  <c r="E65" i="6" s="1"/>
  <c r="G43" i="6"/>
  <c r="I43" i="6"/>
  <c r="I65" i="6" s="1"/>
  <c r="F43" i="6"/>
  <c r="F65" i="6" s="1"/>
  <c r="H43" i="6"/>
  <c r="C43" i="6"/>
  <c r="J51" i="6" l="1"/>
  <c r="J70" i="6"/>
  <c r="J78" i="6"/>
  <c r="J48" i="6"/>
  <c r="J57" i="6"/>
  <c r="J54" i="6"/>
  <c r="J62" i="6"/>
  <c r="J73" i="6"/>
  <c r="J81" i="6"/>
  <c r="C85" i="6"/>
  <c r="J85" i="6"/>
  <c r="J49" i="6"/>
  <c r="J63" i="6"/>
  <c r="J68" i="6"/>
  <c r="J72" i="6"/>
  <c r="J76" i="6"/>
  <c r="J80" i="6"/>
  <c r="J84" i="6"/>
  <c r="J50" i="6"/>
  <c r="J55" i="6"/>
  <c r="J59" i="6"/>
  <c r="J52" i="6"/>
  <c r="J56" i="6"/>
  <c r="J60" i="6"/>
  <c r="J64" i="6"/>
  <c r="J71" i="6"/>
  <c r="J75" i="6"/>
  <c r="J79" i="6"/>
  <c r="E85" i="6"/>
  <c r="H83" i="6"/>
  <c r="H81" i="6"/>
  <c r="H79" i="6"/>
  <c r="H77" i="6"/>
  <c r="H75" i="6"/>
  <c r="H73" i="6"/>
  <c r="H71" i="6"/>
  <c r="H69" i="6"/>
  <c r="H64" i="6"/>
  <c r="H84" i="6"/>
  <c r="H82" i="6"/>
  <c r="H80" i="6"/>
  <c r="H78" i="6"/>
  <c r="H76" i="6"/>
  <c r="H74" i="6"/>
  <c r="H72" i="6"/>
  <c r="H70" i="6"/>
  <c r="H68" i="6"/>
  <c r="H63" i="6"/>
  <c r="H62" i="6"/>
  <c r="H60" i="6"/>
  <c r="H58" i="6"/>
  <c r="H56" i="6"/>
  <c r="H54" i="6"/>
  <c r="H52" i="6"/>
  <c r="H50" i="6"/>
  <c r="H48" i="6"/>
  <c r="H61" i="6"/>
  <c r="H59" i="6"/>
  <c r="H57" i="6"/>
  <c r="H55" i="6"/>
  <c r="H53" i="6"/>
  <c r="H51" i="6"/>
  <c r="H49" i="6"/>
  <c r="H85" i="6"/>
  <c r="H65" i="6"/>
  <c r="G84" i="6"/>
  <c r="G82" i="6"/>
  <c r="G80" i="6"/>
  <c r="G78" i="6"/>
  <c r="G76" i="6"/>
  <c r="G74" i="6"/>
  <c r="G72" i="6"/>
  <c r="G70" i="6"/>
  <c r="G68" i="6"/>
  <c r="G63" i="6"/>
  <c r="G61" i="6"/>
  <c r="G59" i="6"/>
  <c r="G57" i="6"/>
  <c r="G55" i="6"/>
  <c r="G53" i="6"/>
  <c r="G62" i="6"/>
  <c r="G60" i="6"/>
  <c r="G58" i="6"/>
  <c r="G56" i="6"/>
  <c r="G54" i="6"/>
  <c r="G52" i="6"/>
  <c r="G51" i="6"/>
  <c r="G49" i="6"/>
  <c r="G83" i="6"/>
  <c r="G81" i="6"/>
  <c r="G79" i="6"/>
  <c r="G77" i="6"/>
  <c r="G75" i="6"/>
  <c r="G73" i="6"/>
  <c r="G71" i="6"/>
  <c r="G69" i="6"/>
  <c r="G64" i="6"/>
  <c r="G50" i="6"/>
  <c r="G48" i="6"/>
  <c r="G85" i="6"/>
  <c r="C83" i="6"/>
  <c r="C81" i="6"/>
  <c r="C79" i="6"/>
  <c r="C77" i="6"/>
  <c r="C75" i="6"/>
  <c r="C73" i="6"/>
  <c r="C71" i="6"/>
  <c r="C69" i="6"/>
  <c r="C64" i="6"/>
  <c r="C62" i="6"/>
  <c r="C84" i="6"/>
  <c r="C82" i="6"/>
  <c r="C80" i="6"/>
  <c r="C78" i="6"/>
  <c r="C76" i="6"/>
  <c r="C74" i="6"/>
  <c r="C72" i="6"/>
  <c r="C70" i="6"/>
  <c r="C68" i="6"/>
  <c r="C63" i="6"/>
  <c r="C60" i="6"/>
  <c r="C58" i="6"/>
  <c r="C56" i="6"/>
  <c r="C54" i="6"/>
  <c r="C52" i="6"/>
  <c r="C50" i="6"/>
  <c r="C48" i="6"/>
  <c r="C61" i="6"/>
  <c r="C59" i="6"/>
  <c r="C57" i="6"/>
  <c r="C55" i="6"/>
  <c r="C53" i="6"/>
  <c r="C51" i="6"/>
  <c r="C49" i="6"/>
  <c r="F83" i="6"/>
  <c r="F81" i="6"/>
  <c r="F79" i="6"/>
  <c r="F77" i="6"/>
  <c r="F75" i="6"/>
  <c r="F73" i="6"/>
  <c r="F71" i="6"/>
  <c r="F69" i="6"/>
  <c r="F64" i="6"/>
  <c r="F62" i="6"/>
  <c r="F60" i="6"/>
  <c r="F58" i="6"/>
  <c r="F56" i="6"/>
  <c r="F54" i="6"/>
  <c r="F52" i="6"/>
  <c r="F84" i="6"/>
  <c r="F82" i="6"/>
  <c r="F80" i="6"/>
  <c r="F78" i="6"/>
  <c r="F76" i="6"/>
  <c r="F74" i="6"/>
  <c r="F72" i="6"/>
  <c r="F70" i="6"/>
  <c r="F68" i="6"/>
  <c r="F63" i="6"/>
  <c r="F61" i="6"/>
  <c r="F59" i="6"/>
  <c r="F57" i="6"/>
  <c r="F55" i="6"/>
  <c r="F53" i="6"/>
  <c r="F50" i="6"/>
  <c r="F48" i="6"/>
  <c r="F51" i="6"/>
  <c r="F49" i="6"/>
  <c r="F85" i="6"/>
  <c r="C65" i="6"/>
  <c r="I84" i="6"/>
  <c r="I82" i="6"/>
  <c r="I80" i="6"/>
  <c r="I78" i="6"/>
  <c r="I76" i="6"/>
  <c r="I74" i="6"/>
  <c r="I72" i="6"/>
  <c r="I70" i="6"/>
  <c r="I68" i="6"/>
  <c r="I63" i="6"/>
  <c r="I83" i="6"/>
  <c r="I81" i="6"/>
  <c r="I79" i="6"/>
  <c r="I77" i="6"/>
  <c r="I75" i="6"/>
  <c r="I73" i="6"/>
  <c r="I71" i="6"/>
  <c r="I69" i="6"/>
  <c r="I64" i="6"/>
  <c r="I61" i="6"/>
  <c r="I59" i="6"/>
  <c r="I57" i="6"/>
  <c r="I55" i="6"/>
  <c r="I53" i="6"/>
  <c r="I51" i="6"/>
  <c r="I49" i="6"/>
  <c r="I62" i="6"/>
  <c r="I60" i="6"/>
  <c r="I58" i="6"/>
  <c r="I56" i="6"/>
  <c r="I54" i="6"/>
  <c r="I52" i="6"/>
  <c r="I50" i="6"/>
  <c r="I48" i="6"/>
  <c r="E84" i="6"/>
  <c r="E82" i="6"/>
  <c r="E80" i="6"/>
  <c r="E78" i="6"/>
  <c r="E76" i="6"/>
  <c r="E74" i="6"/>
  <c r="E72" i="6"/>
  <c r="E70" i="6"/>
  <c r="E68" i="6"/>
  <c r="E63" i="6"/>
  <c r="E83" i="6"/>
  <c r="E81" i="6"/>
  <c r="E79" i="6"/>
  <c r="E77" i="6"/>
  <c r="E75" i="6"/>
  <c r="E73" i="6"/>
  <c r="E71" i="6"/>
  <c r="E69" i="6"/>
  <c r="E64" i="6"/>
  <c r="E61" i="6"/>
  <c r="E59" i="6"/>
  <c r="E57" i="6"/>
  <c r="E55" i="6"/>
  <c r="E53" i="6"/>
  <c r="E51" i="6"/>
  <c r="E49" i="6"/>
  <c r="E62" i="6"/>
  <c r="E60" i="6"/>
  <c r="E58" i="6"/>
  <c r="E56" i="6"/>
  <c r="E54" i="6"/>
  <c r="E52" i="6"/>
  <c r="E50" i="6"/>
  <c r="E48" i="6"/>
  <c r="K43" i="6"/>
  <c r="M43" i="6" s="1"/>
  <c r="N43" i="6" s="1"/>
  <c r="I85" i="6"/>
  <c r="K65" i="6"/>
  <c r="G65" i="6"/>
  <c r="E119" i="8"/>
  <c r="D136" i="8"/>
  <c r="E136" i="8" s="1"/>
  <c r="D135" i="8"/>
  <c r="E135" i="8" s="1"/>
  <c r="D134" i="8"/>
  <c r="E134" i="8" s="1"/>
  <c r="D133" i="8"/>
  <c r="E133" i="8" s="1"/>
  <c r="C134" i="8"/>
  <c r="C135" i="8"/>
  <c r="C136" i="8"/>
  <c r="C133" i="8"/>
  <c r="B136" i="8"/>
  <c r="B135" i="8"/>
  <c r="B134" i="8"/>
  <c r="B133" i="8"/>
  <c r="A134" i="8"/>
  <c r="A135" i="8"/>
  <c r="A136" i="8"/>
  <c r="A133" i="8"/>
  <c r="E130" i="8"/>
  <c r="D130" i="8"/>
  <c r="E128" i="8"/>
  <c r="E129" i="8"/>
  <c r="E127" i="8"/>
  <c r="D128" i="8"/>
  <c r="D129" i="8"/>
  <c r="D127" i="8"/>
  <c r="C130" i="8"/>
  <c r="B130" i="8"/>
  <c r="C129" i="8"/>
  <c r="B129" i="8"/>
  <c r="C128" i="8"/>
  <c r="B128" i="8"/>
  <c r="C127" i="8"/>
  <c r="B127" i="8"/>
  <c r="G113" i="8"/>
  <c r="E113" i="8"/>
  <c r="D113" i="8"/>
  <c r="C113" i="8"/>
  <c r="B113" i="8"/>
  <c r="G90" i="8"/>
  <c r="F90" i="8"/>
  <c r="E90" i="8"/>
  <c r="D90" i="8"/>
  <c r="C90" i="8"/>
  <c r="N116" i="8"/>
  <c r="M115" i="8"/>
  <c r="L115" i="8"/>
  <c r="L114" i="8" s="1"/>
  <c r="K115" i="8"/>
  <c r="J115" i="8"/>
  <c r="J114" i="8" s="1"/>
  <c r="I115" i="8"/>
  <c r="H115" i="8"/>
  <c r="H114" i="8" s="1"/>
  <c r="G115" i="8"/>
  <c r="F115" i="8"/>
  <c r="F114" i="8" s="1"/>
  <c r="E115" i="8"/>
  <c r="D115" i="8"/>
  <c r="D114" i="8" s="1"/>
  <c r="C115" i="8"/>
  <c r="B115" i="8"/>
  <c r="B114" i="8" s="1"/>
  <c r="M114" i="8"/>
  <c r="K114" i="8"/>
  <c r="I114" i="8"/>
  <c r="G114" i="8"/>
  <c r="E114" i="8"/>
  <c r="C114" i="8"/>
  <c r="M113" i="8"/>
  <c r="L113" i="8"/>
  <c r="L110" i="8" s="1"/>
  <c r="K113" i="8"/>
  <c r="J113" i="8"/>
  <c r="J110" i="8" s="1"/>
  <c r="I113" i="8"/>
  <c r="H113" i="8"/>
  <c r="H110" i="8" s="1"/>
  <c r="F110" i="8"/>
  <c r="D110" i="8"/>
  <c r="B110" i="8"/>
  <c r="N112" i="8"/>
  <c r="N111" i="8"/>
  <c r="M110" i="8"/>
  <c r="K110" i="8"/>
  <c r="I110" i="8"/>
  <c r="G110" i="8"/>
  <c r="E110" i="8"/>
  <c r="C110" i="8"/>
  <c r="M106" i="8"/>
  <c r="M104" i="8" s="1"/>
  <c r="L106" i="8"/>
  <c r="K106" i="8"/>
  <c r="J106" i="8"/>
  <c r="I106" i="8"/>
  <c r="I104" i="8" s="1"/>
  <c r="H106" i="8"/>
  <c r="E104" i="8"/>
  <c r="M105" i="8"/>
  <c r="L105" i="8"/>
  <c r="L104" i="8" s="1"/>
  <c r="K105" i="8"/>
  <c r="J105" i="8"/>
  <c r="J104" i="8" s="1"/>
  <c r="I105" i="8"/>
  <c r="H105" i="8"/>
  <c r="H104" i="8" s="1"/>
  <c r="F104" i="8"/>
  <c r="D104" i="8"/>
  <c r="B104" i="8"/>
  <c r="K104" i="8"/>
  <c r="K108" i="8" s="1"/>
  <c r="G104" i="8"/>
  <c r="C104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N103" i="8" s="1"/>
  <c r="N102" i="8"/>
  <c r="M100" i="8"/>
  <c r="L100" i="8"/>
  <c r="K100" i="8"/>
  <c r="K96" i="8" s="1"/>
  <c r="J100" i="8"/>
  <c r="I100" i="8"/>
  <c r="H100" i="8"/>
  <c r="G96" i="8"/>
  <c r="G120" i="8" s="1"/>
  <c r="C96" i="8"/>
  <c r="C120" i="8" s="1"/>
  <c r="M99" i="8"/>
  <c r="L99" i="8"/>
  <c r="K99" i="8"/>
  <c r="J99" i="8"/>
  <c r="I99" i="8"/>
  <c r="H99" i="8"/>
  <c r="N99" i="8"/>
  <c r="M98" i="8"/>
  <c r="L98" i="8"/>
  <c r="K98" i="8"/>
  <c r="J98" i="8"/>
  <c r="I98" i="8"/>
  <c r="H98" i="8"/>
  <c r="M97" i="8"/>
  <c r="L97" i="8"/>
  <c r="K97" i="8"/>
  <c r="J97" i="8"/>
  <c r="I97" i="8"/>
  <c r="H97" i="8"/>
  <c r="M96" i="8"/>
  <c r="I96" i="8"/>
  <c r="E96" i="8"/>
  <c r="M95" i="8"/>
  <c r="L95" i="8"/>
  <c r="K95" i="8"/>
  <c r="J95" i="8"/>
  <c r="I95" i="8"/>
  <c r="H95" i="8"/>
  <c r="N95" i="8"/>
  <c r="M94" i="8"/>
  <c r="M93" i="8" s="1"/>
  <c r="L94" i="8"/>
  <c r="K94" i="8"/>
  <c r="J94" i="8"/>
  <c r="I94" i="8"/>
  <c r="H94" i="8"/>
  <c r="N94" i="8"/>
  <c r="L93" i="8"/>
  <c r="L89" i="8" s="1"/>
  <c r="K93" i="8"/>
  <c r="J93" i="8"/>
  <c r="I93" i="8"/>
  <c r="H93" i="8"/>
  <c r="H89" i="8" s="1"/>
  <c r="G93" i="8"/>
  <c r="F93" i="8"/>
  <c r="F89" i="8" s="1"/>
  <c r="E93" i="8"/>
  <c r="E89" i="8" s="1"/>
  <c r="D93" i="8"/>
  <c r="D89" i="8" s="1"/>
  <c r="C93" i="8"/>
  <c r="B93" i="8"/>
  <c r="M92" i="8"/>
  <c r="L92" i="8"/>
  <c r="K92" i="8"/>
  <c r="J92" i="8"/>
  <c r="I92" i="8"/>
  <c r="H92" i="8"/>
  <c r="N92" i="8"/>
  <c r="M91" i="8"/>
  <c r="L91" i="8"/>
  <c r="L90" i="8" s="1"/>
  <c r="K91" i="8"/>
  <c r="J91" i="8"/>
  <c r="J90" i="8" s="1"/>
  <c r="I91" i="8"/>
  <c r="H91" i="8"/>
  <c r="H90" i="8" s="1"/>
  <c r="B90" i="8"/>
  <c r="M90" i="8"/>
  <c r="M89" i="8" s="1"/>
  <c r="K90" i="8"/>
  <c r="K89" i="8" s="1"/>
  <c r="I90" i="8"/>
  <c r="I89" i="8" s="1"/>
  <c r="J89" i="8"/>
  <c r="B89" i="8"/>
  <c r="N30" i="8"/>
  <c r="N26" i="8"/>
  <c r="N25" i="8"/>
  <c r="N16" i="8"/>
  <c r="M29" i="8"/>
  <c r="M28" i="8" s="1"/>
  <c r="M27" i="8"/>
  <c r="M24" i="8" s="1"/>
  <c r="M17" i="8"/>
  <c r="M9" i="8"/>
  <c r="M8" i="8"/>
  <c r="M5" i="8"/>
  <c r="L29" i="8"/>
  <c r="L28" i="8" s="1"/>
  <c r="K29" i="8"/>
  <c r="K28" i="8" s="1"/>
  <c r="J29" i="8"/>
  <c r="J28" i="8" s="1"/>
  <c r="I29" i="8"/>
  <c r="I28" i="8" s="1"/>
  <c r="H29" i="8"/>
  <c r="H28" i="8" s="1"/>
  <c r="G29" i="8"/>
  <c r="G28" i="8" s="1"/>
  <c r="F29" i="8"/>
  <c r="F28" i="8" s="1"/>
  <c r="E29" i="8"/>
  <c r="E28" i="8" s="1"/>
  <c r="D29" i="8"/>
  <c r="D28" i="8" s="1"/>
  <c r="C29" i="8"/>
  <c r="C28" i="8" s="1"/>
  <c r="L27" i="8"/>
  <c r="L24" i="8" s="1"/>
  <c r="K27" i="8"/>
  <c r="K24" i="8" s="1"/>
  <c r="J27" i="8"/>
  <c r="I27" i="8"/>
  <c r="I24" i="8" s="1"/>
  <c r="H27" i="8"/>
  <c r="H24" i="8" s="1"/>
  <c r="G27" i="8"/>
  <c r="G24" i="8" s="1"/>
  <c r="F27" i="8"/>
  <c r="F24" i="8" s="1"/>
  <c r="E27" i="8"/>
  <c r="E24" i="8" s="1"/>
  <c r="D27" i="8"/>
  <c r="D24" i="8" s="1"/>
  <c r="C27" i="8"/>
  <c r="C24" i="8" s="1"/>
  <c r="J24" i="8"/>
  <c r="L17" i="8"/>
  <c r="K17" i="8"/>
  <c r="J17" i="8"/>
  <c r="I17" i="8"/>
  <c r="H17" i="8"/>
  <c r="G17" i="8"/>
  <c r="F17" i="8"/>
  <c r="E17" i="8"/>
  <c r="D17" i="8"/>
  <c r="C17" i="8"/>
  <c r="L9" i="8"/>
  <c r="K9" i="8"/>
  <c r="J9" i="8"/>
  <c r="I9" i="8"/>
  <c r="H9" i="8"/>
  <c r="G9" i="8"/>
  <c r="L8" i="8"/>
  <c r="K8" i="8"/>
  <c r="J8" i="8"/>
  <c r="I8" i="8"/>
  <c r="H8" i="8"/>
  <c r="G8" i="8"/>
  <c r="L5" i="8"/>
  <c r="K5" i="8"/>
  <c r="J5" i="8"/>
  <c r="I5" i="8"/>
  <c r="H5" i="8"/>
  <c r="G5" i="8"/>
  <c r="B29" i="8"/>
  <c r="B28" i="8" s="1"/>
  <c r="B27" i="8"/>
  <c r="B24" i="8" s="1"/>
  <c r="H16" i="5"/>
  <c r="H11" i="5"/>
  <c r="H9" i="5"/>
  <c r="H5" i="5"/>
  <c r="H45" i="2"/>
  <c r="H9" i="2"/>
  <c r="H2" i="4"/>
  <c r="H64" i="1"/>
  <c r="H63" i="1" s="1"/>
  <c r="H62" i="1" s="1"/>
  <c r="H57" i="1"/>
  <c r="H53" i="1"/>
  <c r="H52" i="1" s="1"/>
  <c r="H37" i="1"/>
  <c r="G6" i="8" s="1"/>
  <c r="H10" i="1"/>
  <c r="K50" i="6" l="1"/>
  <c r="K48" i="6"/>
  <c r="K49" i="6"/>
  <c r="K52" i="6"/>
  <c r="K56" i="6"/>
  <c r="K60" i="6"/>
  <c r="K64" i="6"/>
  <c r="K71" i="6"/>
  <c r="K75" i="6"/>
  <c r="K79" i="6"/>
  <c r="K83" i="6"/>
  <c r="K55" i="6"/>
  <c r="K59" i="6"/>
  <c r="K63" i="6"/>
  <c r="K70" i="6"/>
  <c r="K74" i="6"/>
  <c r="K78" i="6"/>
  <c r="K82" i="6"/>
  <c r="K51" i="6"/>
  <c r="K54" i="6"/>
  <c r="K58" i="6"/>
  <c r="K62" i="6"/>
  <c r="K69" i="6"/>
  <c r="K73" i="6"/>
  <c r="K77" i="6"/>
  <c r="K81" i="6"/>
  <c r="K53" i="6"/>
  <c r="K57" i="6"/>
  <c r="K61" i="6"/>
  <c r="K68" i="6"/>
  <c r="K72" i="6"/>
  <c r="K76" i="6"/>
  <c r="K80" i="6"/>
  <c r="K84" i="6"/>
  <c r="K85" i="6"/>
  <c r="C108" i="8"/>
  <c r="N93" i="8"/>
  <c r="D107" i="8"/>
  <c r="H107" i="8"/>
  <c r="L107" i="8"/>
  <c r="B107" i="8"/>
  <c r="F107" i="8"/>
  <c r="J107" i="8"/>
  <c r="I107" i="8"/>
  <c r="I101" i="8"/>
  <c r="M107" i="8"/>
  <c r="M101" i="8"/>
  <c r="E120" i="8"/>
  <c r="E121" i="8"/>
  <c r="C89" i="8"/>
  <c r="G89" i="8"/>
  <c r="G119" i="8" s="1"/>
  <c r="K107" i="8"/>
  <c r="K109" i="8" s="1"/>
  <c r="K117" i="8" s="1"/>
  <c r="K101" i="8"/>
  <c r="B119" i="8"/>
  <c r="N90" i="8"/>
  <c r="D119" i="8"/>
  <c r="F119" i="8"/>
  <c r="N91" i="8"/>
  <c r="C121" i="8"/>
  <c r="G121" i="8"/>
  <c r="G108" i="8"/>
  <c r="N104" i="8"/>
  <c r="N105" i="8"/>
  <c r="E108" i="8"/>
  <c r="I108" i="8"/>
  <c r="M108" i="8"/>
  <c r="N114" i="8"/>
  <c r="N115" i="8"/>
  <c r="B96" i="8"/>
  <c r="D96" i="8"/>
  <c r="D121" i="8" s="1"/>
  <c r="F96" i="8"/>
  <c r="H96" i="8"/>
  <c r="H101" i="8" s="1"/>
  <c r="J96" i="8"/>
  <c r="J101" i="8" s="1"/>
  <c r="L96" i="8"/>
  <c r="L101" i="8" s="1"/>
  <c r="N97" i="8"/>
  <c r="N100" i="8"/>
  <c r="N106" i="8"/>
  <c r="N110" i="8"/>
  <c r="N113" i="8"/>
  <c r="D120" i="8"/>
  <c r="N98" i="8"/>
  <c r="J7" i="8"/>
  <c r="K7" i="8"/>
  <c r="G4" i="8"/>
  <c r="I7" i="8"/>
  <c r="G7" i="8"/>
  <c r="N28" i="8"/>
  <c r="N24" i="8"/>
  <c r="N27" i="8"/>
  <c r="N29" i="8"/>
  <c r="H7" i="8"/>
  <c r="L7" i="8"/>
  <c r="M7" i="8"/>
  <c r="H51" i="1"/>
  <c r="N89" i="8" l="1"/>
  <c r="N119" i="8" s="1"/>
  <c r="C119" i="8"/>
  <c r="F124" i="8"/>
  <c r="F120" i="8"/>
  <c r="N96" i="8"/>
  <c r="N120" i="8" s="1"/>
  <c r="B124" i="8"/>
  <c r="B120" i="8"/>
  <c r="J108" i="8"/>
  <c r="F108" i="8"/>
  <c r="J109" i="8"/>
  <c r="J117" i="8" s="1"/>
  <c r="F109" i="8"/>
  <c r="D124" i="8"/>
  <c r="L108" i="8"/>
  <c r="L109" i="8" s="1"/>
  <c r="L117" i="8" s="1"/>
  <c r="H108" i="8"/>
  <c r="H109" i="8" s="1"/>
  <c r="H117" i="8" s="1"/>
  <c r="D108" i="8"/>
  <c r="D109" i="8" s="1"/>
  <c r="B108" i="8"/>
  <c r="F121" i="8"/>
  <c r="B121" i="8"/>
  <c r="G107" i="8"/>
  <c r="G101" i="8"/>
  <c r="C107" i="8"/>
  <c r="C101" i="8"/>
  <c r="M109" i="8"/>
  <c r="M117" i="8" s="1"/>
  <c r="I109" i="8"/>
  <c r="I117" i="8" s="1"/>
  <c r="E107" i="8"/>
  <c r="N107" i="8" s="1"/>
  <c r="E101" i="8"/>
  <c r="F101" i="8"/>
  <c r="B101" i="8"/>
  <c r="D101" i="8"/>
  <c r="G3" i="8"/>
  <c r="G33" i="8"/>
  <c r="C47" i="7"/>
  <c r="C49" i="7"/>
  <c r="B45" i="7"/>
  <c r="A46" i="7"/>
  <c r="A47" i="7"/>
  <c r="A48" i="7"/>
  <c r="A49" i="7"/>
  <c r="A45" i="7"/>
  <c r="N38" i="7"/>
  <c r="L38" i="7"/>
  <c r="J38" i="7"/>
  <c r="H38" i="7"/>
  <c r="F38" i="7"/>
  <c r="D38" i="7"/>
  <c r="B38" i="7"/>
  <c r="N36" i="7"/>
  <c r="L36" i="7"/>
  <c r="J36" i="7"/>
  <c r="H36" i="7"/>
  <c r="F36" i="7"/>
  <c r="D36" i="7"/>
  <c r="B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P27" i="7"/>
  <c r="O27" i="7"/>
  <c r="M27" i="7"/>
  <c r="K27" i="7"/>
  <c r="I27" i="7"/>
  <c r="G27" i="7"/>
  <c r="E27" i="7"/>
  <c r="C27" i="7"/>
  <c r="P26" i="7"/>
  <c r="C48" i="7" s="1"/>
  <c r="O26" i="7"/>
  <c r="M26" i="7"/>
  <c r="K26" i="7"/>
  <c r="I26" i="7"/>
  <c r="G26" i="7"/>
  <c r="E26" i="7"/>
  <c r="C26" i="7"/>
  <c r="P25" i="7"/>
  <c r="O25" i="7"/>
  <c r="M25" i="7"/>
  <c r="K25" i="7"/>
  <c r="I25" i="7"/>
  <c r="G25" i="7"/>
  <c r="E25" i="7"/>
  <c r="C25" i="7"/>
  <c r="P24" i="7"/>
  <c r="C46" i="7" s="1"/>
  <c r="O24" i="7"/>
  <c r="M24" i="7"/>
  <c r="K24" i="7"/>
  <c r="I24" i="7"/>
  <c r="G24" i="7"/>
  <c r="E24" i="7"/>
  <c r="C24" i="7"/>
  <c r="P23" i="7"/>
  <c r="C45" i="7" s="1"/>
  <c r="O23" i="7"/>
  <c r="M23" i="7"/>
  <c r="K23" i="7"/>
  <c r="I23" i="7"/>
  <c r="G23" i="7"/>
  <c r="E23" i="7"/>
  <c r="C23" i="7"/>
  <c r="N19" i="7"/>
  <c r="L19" i="7"/>
  <c r="J19" i="7"/>
  <c r="H19" i="7"/>
  <c r="F19" i="7"/>
  <c r="D19" i="7"/>
  <c r="B19" i="7"/>
  <c r="P17" i="7"/>
  <c r="Q34" i="7" s="1"/>
  <c r="P16" i="7"/>
  <c r="Q33" i="7" s="1"/>
  <c r="P15" i="7"/>
  <c r="Q32" i="7" s="1"/>
  <c r="P14" i="7"/>
  <c r="Q31" i="7" s="1"/>
  <c r="P13" i="7"/>
  <c r="Q30" i="7" s="1"/>
  <c r="P12" i="7"/>
  <c r="Q29" i="7" s="1"/>
  <c r="P11" i="7"/>
  <c r="Q28" i="7" s="1"/>
  <c r="P10" i="7"/>
  <c r="B49" i="7" s="1"/>
  <c r="P9" i="7"/>
  <c r="B48" i="7" s="1"/>
  <c r="P8" i="7"/>
  <c r="B47" i="7" s="1"/>
  <c r="P7" i="7"/>
  <c r="B46" i="7" s="1"/>
  <c r="P6" i="7"/>
  <c r="N101" i="8" l="1"/>
  <c r="D117" i="8"/>
  <c r="D123" i="8" s="1"/>
  <c r="D122" i="8"/>
  <c r="E109" i="8"/>
  <c r="E124" i="8"/>
  <c r="C109" i="8"/>
  <c r="C124" i="8"/>
  <c r="G109" i="8"/>
  <c r="G124" i="8"/>
  <c r="N108" i="8"/>
  <c r="B109" i="8"/>
  <c r="F122" i="8"/>
  <c r="F117" i="8"/>
  <c r="F123" i="8" s="1"/>
  <c r="N124" i="8"/>
  <c r="N121" i="8"/>
  <c r="P38" i="7"/>
  <c r="B39" i="7"/>
  <c r="F39" i="7"/>
  <c r="J39" i="7"/>
  <c r="N39" i="7"/>
  <c r="G21" i="8"/>
  <c r="Q25" i="7"/>
  <c r="Q27" i="7"/>
  <c r="Q23" i="7"/>
  <c r="F37" i="7"/>
  <c r="F40" i="7" s="1"/>
  <c r="N37" i="7"/>
  <c r="N40" i="7" s="1"/>
  <c r="C39" i="7"/>
  <c r="K39" i="7"/>
  <c r="D39" i="7"/>
  <c r="H39" i="7"/>
  <c r="L39" i="7"/>
  <c r="B37" i="7"/>
  <c r="B40" i="7" s="1"/>
  <c r="J37" i="7"/>
  <c r="J40" i="7" s="1"/>
  <c r="G39" i="7"/>
  <c r="O39" i="7"/>
  <c r="P19" i="7"/>
  <c r="P36" i="7"/>
  <c r="E39" i="7"/>
  <c r="I39" i="7"/>
  <c r="M39" i="7"/>
  <c r="Q24" i="7"/>
  <c r="Q26" i="7"/>
  <c r="D37" i="7"/>
  <c r="D40" i="7" s="1"/>
  <c r="H37" i="7"/>
  <c r="H40" i="7" s="1"/>
  <c r="L37" i="7"/>
  <c r="L40" i="7" s="1"/>
  <c r="B122" i="8" l="1"/>
  <c r="B117" i="8"/>
  <c r="N109" i="8"/>
  <c r="N122" i="8" s="1"/>
  <c r="G122" i="8"/>
  <c r="G117" i="8"/>
  <c r="G123" i="8" s="1"/>
  <c r="C122" i="8"/>
  <c r="C117" i="8"/>
  <c r="C123" i="8" s="1"/>
  <c r="E122" i="8"/>
  <c r="E117" i="8"/>
  <c r="E123" i="8" s="1"/>
  <c r="P39" i="7"/>
  <c r="P37" i="7"/>
  <c r="P40" i="7" s="1"/>
  <c r="Q39" i="7"/>
  <c r="G11" i="5"/>
  <c r="G9" i="5"/>
  <c r="G5" i="5"/>
  <c r="G16" i="5" s="1"/>
  <c r="O8" i="2"/>
  <c r="O10" i="2"/>
  <c r="O11" i="2"/>
  <c r="O12" i="2"/>
  <c r="O13" i="2"/>
  <c r="O14" i="2"/>
  <c r="O15" i="2"/>
  <c r="O17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O38" i="2"/>
  <c r="O40" i="2"/>
  <c r="O41" i="2"/>
  <c r="O43" i="2"/>
  <c r="O46" i="2"/>
  <c r="O47" i="2"/>
  <c r="O51" i="2"/>
  <c r="O52" i="2"/>
  <c r="O53" i="2"/>
  <c r="O55" i="2"/>
  <c r="O57" i="2"/>
  <c r="O58" i="2"/>
  <c r="N34" i="2"/>
  <c r="M34" i="2"/>
  <c r="L34" i="2"/>
  <c r="K34" i="2"/>
  <c r="J34" i="2"/>
  <c r="I34" i="2"/>
  <c r="H34" i="2"/>
  <c r="G34" i="2"/>
  <c r="N16" i="2"/>
  <c r="M16" i="2"/>
  <c r="L16" i="2"/>
  <c r="K16" i="2"/>
  <c r="J16" i="2"/>
  <c r="I16" i="2"/>
  <c r="H16" i="2"/>
  <c r="G16" i="2"/>
  <c r="N7" i="2"/>
  <c r="M7" i="2"/>
  <c r="L7" i="2"/>
  <c r="K7" i="2"/>
  <c r="J7" i="2"/>
  <c r="I7" i="2"/>
  <c r="G7" i="2"/>
  <c r="C63" i="1"/>
  <c r="D63" i="1"/>
  <c r="E63" i="1"/>
  <c r="F63" i="1"/>
  <c r="O64" i="1"/>
  <c r="O65" i="1"/>
  <c r="O66" i="1"/>
  <c r="O67" i="1"/>
  <c r="O68" i="1"/>
  <c r="O69" i="1"/>
  <c r="O70" i="1"/>
  <c r="O61" i="1"/>
  <c r="B17" i="8" s="1"/>
  <c r="N17" i="8" s="1"/>
  <c r="O60" i="1"/>
  <c r="O59" i="1"/>
  <c r="O58" i="1"/>
  <c r="O56" i="1"/>
  <c r="O55" i="1"/>
  <c r="O54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G63" i="1"/>
  <c r="G64" i="1"/>
  <c r="G57" i="1"/>
  <c r="F9" i="8" s="1"/>
  <c r="G53" i="1"/>
  <c r="G52" i="1"/>
  <c r="F8" i="8" s="1"/>
  <c r="F7" i="8" s="1"/>
  <c r="G10" i="1"/>
  <c r="F5" i="8" s="1"/>
  <c r="B123" i="8" l="1"/>
  <c r="N117" i="8"/>
  <c r="N123" i="8" s="1"/>
  <c r="G51" i="1"/>
  <c r="O51" i="1" s="1"/>
  <c r="O63" i="1"/>
  <c r="G6" i="2"/>
  <c r="H6" i="2"/>
  <c r="H15" i="3"/>
  <c r="A15" i="3"/>
  <c r="A16" i="3"/>
  <c r="A17" i="3"/>
  <c r="A18" i="3"/>
  <c r="A19" i="3"/>
  <c r="A20" i="3"/>
  <c r="A21" i="3"/>
  <c r="N56" i="2"/>
  <c r="M56" i="2"/>
  <c r="L56" i="2"/>
  <c r="K56" i="2"/>
  <c r="J56" i="2"/>
  <c r="I56" i="2"/>
  <c r="H56" i="2"/>
  <c r="G56" i="2"/>
  <c r="G13" i="5" s="1"/>
  <c r="H30" i="4"/>
  <c r="N42" i="2"/>
  <c r="M13" i="8" s="1"/>
  <c r="M42" i="2"/>
  <c r="L13" i="8" s="1"/>
  <c r="L42" i="2"/>
  <c r="K13" i="8" s="1"/>
  <c r="K42" i="2"/>
  <c r="J13" i="8" s="1"/>
  <c r="J42" i="2"/>
  <c r="I13" i="8" s="1"/>
  <c r="I42" i="2"/>
  <c r="H13" i="8" s="1"/>
  <c r="H42" i="2"/>
  <c r="G42" i="2"/>
  <c r="F13" i="8" s="1"/>
  <c r="B56" i="2"/>
  <c r="B13" i="5" s="1"/>
  <c r="F56" i="2"/>
  <c r="F13" i="5" s="1"/>
  <c r="E56" i="2"/>
  <c r="E13" i="5" s="1"/>
  <c r="D56" i="2"/>
  <c r="D13" i="5" s="1"/>
  <c r="C56" i="2"/>
  <c r="F54" i="2"/>
  <c r="E20" i="8" s="1"/>
  <c r="E54" i="2"/>
  <c r="D20" i="8" s="1"/>
  <c r="D54" i="2"/>
  <c r="C20" i="8" s="1"/>
  <c r="C54" i="2"/>
  <c r="B20" i="8" s="1"/>
  <c r="N50" i="2"/>
  <c r="M19" i="8" s="1"/>
  <c r="M50" i="2"/>
  <c r="L19" i="8" s="1"/>
  <c r="L50" i="2"/>
  <c r="K19" i="8" s="1"/>
  <c r="K50" i="2"/>
  <c r="J19" i="8" s="1"/>
  <c r="J50" i="2"/>
  <c r="I19" i="8" s="1"/>
  <c r="I50" i="2"/>
  <c r="H19" i="8" s="1"/>
  <c r="H50" i="2"/>
  <c r="G50" i="2"/>
  <c r="F19" i="8" s="1"/>
  <c r="F50" i="2"/>
  <c r="E50" i="2"/>
  <c r="D19" i="8" s="1"/>
  <c r="D50" i="2"/>
  <c r="C19" i="8" s="1"/>
  <c r="C50" i="2"/>
  <c r="B19" i="8" s="1"/>
  <c r="D49" i="2"/>
  <c r="B50" i="2"/>
  <c r="N45" i="2"/>
  <c r="N44" i="2" s="1"/>
  <c r="M14" i="8" s="1"/>
  <c r="M45" i="2"/>
  <c r="M44" i="2" s="1"/>
  <c r="L14" i="8" s="1"/>
  <c r="L45" i="2"/>
  <c r="L44" i="2" s="1"/>
  <c r="K14" i="8" s="1"/>
  <c r="K45" i="2"/>
  <c r="K44" i="2" s="1"/>
  <c r="J14" i="8" s="1"/>
  <c r="J45" i="2"/>
  <c r="J44" i="2" s="1"/>
  <c r="I14" i="8" s="1"/>
  <c r="I45" i="2"/>
  <c r="I44" i="2" s="1"/>
  <c r="H14" i="8" s="1"/>
  <c r="G44" i="2"/>
  <c r="F45" i="2"/>
  <c r="F44" i="2" s="1"/>
  <c r="E45" i="2"/>
  <c r="E44" i="2" s="1"/>
  <c r="D45" i="2"/>
  <c r="D44" i="2" s="1"/>
  <c r="C45" i="2"/>
  <c r="C44" i="2" s="1"/>
  <c r="B45" i="2"/>
  <c r="B44" i="2" s="1"/>
  <c r="B10" i="5" s="1"/>
  <c r="F42" i="2"/>
  <c r="E13" i="8" s="1"/>
  <c r="E42" i="2"/>
  <c r="D13" i="8" s="1"/>
  <c r="D42" i="2"/>
  <c r="C13" i="8" s="1"/>
  <c r="C42" i="2"/>
  <c r="B13" i="8" s="1"/>
  <c r="B42" i="2"/>
  <c r="N54" i="2"/>
  <c r="M20" i="8" s="1"/>
  <c r="M18" i="8" s="1"/>
  <c r="M54" i="2"/>
  <c r="L54" i="2"/>
  <c r="K20" i="8" s="1"/>
  <c r="K18" i="8" s="1"/>
  <c r="K54" i="2"/>
  <c r="J54" i="2"/>
  <c r="I20" i="8" s="1"/>
  <c r="I18" i="8" s="1"/>
  <c r="I54" i="2"/>
  <c r="H54" i="2"/>
  <c r="G54" i="2"/>
  <c r="N39" i="2"/>
  <c r="M12" i="8" s="1"/>
  <c r="M39" i="2"/>
  <c r="L12" i="8" s="1"/>
  <c r="L39" i="2"/>
  <c r="K12" i="8" s="1"/>
  <c r="K39" i="2"/>
  <c r="J12" i="8" s="1"/>
  <c r="J39" i="2"/>
  <c r="I12" i="8" s="1"/>
  <c r="I39" i="2"/>
  <c r="H12" i="8" s="1"/>
  <c r="H39" i="2"/>
  <c r="G39" i="2"/>
  <c r="N6" i="2"/>
  <c r="M11" i="8" s="1"/>
  <c r="M10" i="8" s="1"/>
  <c r="M22" i="8" s="1"/>
  <c r="L6" i="2"/>
  <c r="K11" i="8" s="1"/>
  <c r="J6" i="2"/>
  <c r="I11" i="8" s="1"/>
  <c r="I10" i="8" s="1"/>
  <c r="M6" i="2"/>
  <c r="L11" i="8" s="1"/>
  <c r="L10" i="8" s="1"/>
  <c r="K6" i="2"/>
  <c r="J11" i="8" s="1"/>
  <c r="I6" i="2"/>
  <c r="H11" i="8" s="1"/>
  <c r="H10" i="8" s="1"/>
  <c r="E62" i="1"/>
  <c r="C62" i="1"/>
  <c r="B63" i="1"/>
  <c r="F62" i="1"/>
  <c r="D62" i="1"/>
  <c r="B62" i="1"/>
  <c r="F57" i="1"/>
  <c r="E9" i="8" s="1"/>
  <c r="E57" i="1"/>
  <c r="D9" i="8" s="1"/>
  <c r="D57" i="1"/>
  <c r="C9" i="8" s="1"/>
  <c r="C57" i="1"/>
  <c r="B57" i="1"/>
  <c r="F52" i="1"/>
  <c r="E8" i="8" s="1"/>
  <c r="E7" i="8" s="1"/>
  <c r="D52" i="1"/>
  <c r="C8" i="8" s="1"/>
  <c r="C7" i="8" s="1"/>
  <c r="B52" i="1"/>
  <c r="F53" i="1"/>
  <c r="E53" i="1"/>
  <c r="E52" i="1" s="1"/>
  <c r="D8" i="8" s="1"/>
  <c r="D7" i="8" s="1"/>
  <c r="D3" i="8" s="1"/>
  <c r="D53" i="1"/>
  <c r="C53" i="1"/>
  <c r="O53" i="1" s="1"/>
  <c r="H9" i="1"/>
  <c r="N37" i="1"/>
  <c r="M6" i="8" s="1"/>
  <c r="M4" i="8" s="1"/>
  <c r="M3" i="8" s="1"/>
  <c r="M37" i="1"/>
  <c r="L6" i="8" s="1"/>
  <c r="L4" i="8" s="1"/>
  <c r="L3" i="8" s="1"/>
  <c r="L37" i="1"/>
  <c r="K6" i="8" s="1"/>
  <c r="K4" i="8" s="1"/>
  <c r="K3" i="8" s="1"/>
  <c r="K37" i="1"/>
  <c r="J6" i="8" s="1"/>
  <c r="J4" i="8" s="1"/>
  <c r="J3" i="8" s="1"/>
  <c r="J37" i="1"/>
  <c r="I6" i="8" s="1"/>
  <c r="I4" i="8" s="1"/>
  <c r="I3" i="8" s="1"/>
  <c r="I37" i="1"/>
  <c r="H6" i="8" s="1"/>
  <c r="H4" i="8" s="1"/>
  <c r="H3" i="8" s="1"/>
  <c r="G37" i="1"/>
  <c r="F37" i="1"/>
  <c r="E6" i="8" s="1"/>
  <c r="E4" i="8" s="1"/>
  <c r="E37" i="1"/>
  <c r="D6" i="8" s="1"/>
  <c r="D37" i="1"/>
  <c r="C6" i="8" s="1"/>
  <c r="C37" i="1"/>
  <c r="B37" i="1"/>
  <c r="B9" i="1" s="1"/>
  <c r="B8" i="1" s="1"/>
  <c r="B71" i="1" s="1"/>
  <c r="F10" i="1"/>
  <c r="E5" i="8" s="1"/>
  <c r="E10" i="1"/>
  <c r="D5" i="8" s="1"/>
  <c r="D4" i="8" s="1"/>
  <c r="D10" i="1"/>
  <c r="C5" i="8" s="1"/>
  <c r="C10" i="1"/>
  <c r="B10" i="1"/>
  <c r="H18" i="4"/>
  <c r="C13" i="5"/>
  <c r="F11" i="5"/>
  <c r="E11" i="5"/>
  <c r="D11" i="5"/>
  <c r="C11" i="5"/>
  <c r="B11" i="5"/>
  <c r="A11" i="5"/>
  <c r="F9" i="5"/>
  <c r="E9" i="5"/>
  <c r="D9" i="5"/>
  <c r="C9" i="5"/>
  <c r="B9" i="5"/>
  <c r="F5" i="5"/>
  <c r="F16" i="5" s="1"/>
  <c r="E5" i="5"/>
  <c r="E16" i="5" s="1"/>
  <c r="D5" i="5"/>
  <c r="D16" i="5" s="1"/>
  <c r="C5" i="5"/>
  <c r="C16" i="5" s="1"/>
  <c r="B5" i="5"/>
  <c r="B16" i="5" s="1"/>
  <c r="D21" i="8" l="1"/>
  <c r="B5" i="8"/>
  <c r="O10" i="1"/>
  <c r="H5" i="4" s="1"/>
  <c r="H4" i="4" s="1"/>
  <c r="D33" i="8"/>
  <c r="H15" i="8"/>
  <c r="H21" i="8"/>
  <c r="J21" i="8"/>
  <c r="L15" i="8"/>
  <c r="L21" i="8"/>
  <c r="D9" i="1"/>
  <c r="D8" i="1" s="1"/>
  <c r="D71" i="1" s="1"/>
  <c r="F9" i="1"/>
  <c r="F8" i="1" s="1"/>
  <c r="I9" i="1"/>
  <c r="I8" i="1" s="1"/>
  <c r="K9" i="1"/>
  <c r="K8" i="1" s="1"/>
  <c r="M9" i="1"/>
  <c r="M8" i="1" s="1"/>
  <c r="E3" i="8"/>
  <c r="B9" i="8"/>
  <c r="N9" i="8" s="1"/>
  <c r="O57" i="1"/>
  <c r="H9" i="4" s="1"/>
  <c r="G12" i="8"/>
  <c r="H8" i="5"/>
  <c r="O54" i="2"/>
  <c r="H21" i="4" s="1"/>
  <c r="G20" i="8"/>
  <c r="I22" i="8"/>
  <c r="D10" i="5"/>
  <c r="C14" i="8"/>
  <c r="F10" i="5"/>
  <c r="E14" i="8"/>
  <c r="N20" i="8"/>
  <c r="B18" i="8"/>
  <c r="D18" i="8"/>
  <c r="O56" i="2"/>
  <c r="H13" i="5"/>
  <c r="H7" i="5"/>
  <c r="G11" i="8"/>
  <c r="F11" i="8"/>
  <c r="G7" i="5"/>
  <c r="G6" i="5" s="1"/>
  <c r="G18" i="5" s="1"/>
  <c r="C4" i="8"/>
  <c r="B6" i="8"/>
  <c r="N6" i="8" s="1"/>
  <c r="O37" i="1"/>
  <c r="H6" i="4" s="1"/>
  <c r="G9" i="1"/>
  <c r="G8" i="1" s="1"/>
  <c r="F6" i="8"/>
  <c r="F4" i="8" s="1"/>
  <c r="F3" i="8" s="1"/>
  <c r="I15" i="8"/>
  <c r="I21" i="8"/>
  <c r="K15" i="8"/>
  <c r="K21" i="8"/>
  <c r="M15" i="8"/>
  <c r="M21" i="8"/>
  <c r="M23" i="8" s="1"/>
  <c r="M31" i="8" s="1"/>
  <c r="C9" i="1"/>
  <c r="C8" i="1" s="1"/>
  <c r="C71" i="1" s="1"/>
  <c r="E9" i="1"/>
  <c r="E8" i="1" s="1"/>
  <c r="E71" i="1" s="1"/>
  <c r="J9" i="1"/>
  <c r="J8" i="1" s="1"/>
  <c r="L9" i="1"/>
  <c r="L8" i="1" s="1"/>
  <c r="N9" i="1"/>
  <c r="N8" i="1" s="1"/>
  <c r="C52" i="1"/>
  <c r="J10" i="8"/>
  <c r="J15" i="8" s="1"/>
  <c r="K10" i="8"/>
  <c r="K22" i="8" s="1"/>
  <c r="F12" i="8"/>
  <c r="G8" i="5"/>
  <c r="G49" i="2"/>
  <c r="G48" i="2" s="1"/>
  <c r="G12" i="5" s="1"/>
  <c r="F20" i="8"/>
  <c r="F18" i="8" s="1"/>
  <c r="I49" i="2"/>
  <c r="H20" i="8"/>
  <c r="H18" i="8" s="1"/>
  <c r="H22" i="8" s="1"/>
  <c r="K49" i="2"/>
  <c r="J20" i="8"/>
  <c r="J18" i="8" s="1"/>
  <c r="M49" i="2"/>
  <c r="L20" i="8"/>
  <c r="L18" i="8" s="1"/>
  <c r="L22" i="8" s="1"/>
  <c r="C10" i="5"/>
  <c r="B14" i="8"/>
  <c r="E10" i="5"/>
  <c r="D14" i="8"/>
  <c r="F14" i="8"/>
  <c r="G10" i="5"/>
  <c r="F49" i="2"/>
  <c r="E19" i="8"/>
  <c r="E18" i="8" s="1"/>
  <c r="O50" i="2"/>
  <c r="H20" i="4" s="1"/>
  <c r="H19" i="4" s="1"/>
  <c r="G19" i="8"/>
  <c r="C18" i="8"/>
  <c r="O42" i="2"/>
  <c r="H13" i="4" s="1"/>
  <c r="G13" i="8"/>
  <c r="N13" i="8" s="1"/>
  <c r="H44" i="2"/>
  <c r="O45" i="2"/>
  <c r="G14" i="5"/>
  <c r="H8" i="1"/>
  <c r="I5" i="2"/>
  <c r="I4" i="2" s="1"/>
  <c r="I59" i="2" s="1"/>
  <c r="M5" i="2"/>
  <c r="M4" i="2" s="1"/>
  <c r="M59" i="2" s="1"/>
  <c r="F71" i="1"/>
  <c r="J5" i="2"/>
  <c r="J4" i="2" s="1"/>
  <c r="J59" i="2" s="1"/>
  <c r="N5" i="2"/>
  <c r="N4" i="2" s="1"/>
  <c r="N59" i="2" s="1"/>
  <c r="G5" i="2"/>
  <c r="G4" i="2" s="1"/>
  <c r="K5" i="2"/>
  <c r="K4" i="2" s="1"/>
  <c r="K59" i="2" s="1"/>
  <c r="H49" i="2"/>
  <c r="J49" i="2"/>
  <c r="L49" i="2"/>
  <c r="N49" i="2"/>
  <c r="C49" i="2"/>
  <c r="E49" i="2"/>
  <c r="H5" i="2"/>
  <c r="L5" i="2"/>
  <c r="L4" i="2" s="1"/>
  <c r="L59" i="2" s="1"/>
  <c r="H28" i="4"/>
  <c r="H25" i="4" s="1"/>
  <c r="F39" i="4"/>
  <c r="F21" i="3" s="1"/>
  <c r="E39" i="4"/>
  <c r="E21" i="3" s="1"/>
  <c r="D39" i="4"/>
  <c r="D21" i="3" s="1"/>
  <c r="C39" i="4"/>
  <c r="C21" i="3" s="1"/>
  <c r="B39" i="4"/>
  <c r="B21" i="3" s="1"/>
  <c r="F38" i="4"/>
  <c r="F20" i="3" s="1"/>
  <c r="E38" i="4"/>
  <c r="E20" i="3" s="1"/>
  <c r="D38" i="4"/>
  <c r="D20" i="3" s="1"/>
  <c r="C38" i="4"/>
  <c r="C20" i="3" s="1"/>
  <c r="B38" i="4"/>
  <c r="B20" i="3" s="1"/>
  <c r="F37" i="4"/>
  <c r="F19" i="3" s="1"/>
  <c r="E37" i="4"/>
  <c r="E19" i="3" s="1"/>
  <c r="D37" i="4"/>
  <c r="D19" i="3" s="1"/>
  <c r="C37" i="4"/>
  <c r="C19" i="3" s="1"/>
  <c r="B37" i="4"/>
  <c r="B19" i="3" s="1"/>
  <c r="F36" i="4"/>
  <c r="F18" i="3" s="1"/>
  <c r="E36" i="4"/>
  <c r="E18" i="3" s="1"/>
  <c r="D36" i="4"/>
  <c r="D18" i="3" s="1"/>
  <c r="C36" i="4"/>
  <c r="C18" i="3" s="1"/>
  <c r="B36" i="4"/>
  <c r="B18" i="3" s="1"/>
  <c r="F35" i="4"/>
  <c r="F17" i="3" s="1"/>
  <c r="E35" i="4"/>
  <c r="E17" i="3" s="1"/>
  <c r="D35" i="4"/>
  <c r="D17" i="3" s="1"/>
  <c r="C35" i="4"/>
  <c r="C17" i="3" s="1"/>
  <c r="B35" i="4"/>
  <c r="B17" i="3" s="1"/>
  <c r="F34" i="4"/>
  <c r="F16" i="3" s="1"/>
  <c r="E34" i="4"/>
  <c r="E16" i="3" s="1"/>
  <c r="D34" i="4"/>
  <c r="D16" i="3" s="1"/>
  <c r="C34" i="4"/>
  <c r="C16" i="3" s="1"/>
  <c r="B34" i="4"/>
  <c r="B16" i="3" s="1"/>
  <c r="H29" i="4"/>
  <c r="G29" i="4"/>
  <c r="G19" i="4"/>
  <c r="G10" i="4"/>
  <c r="G7" i="4"/>
  <c r="G4" i="4"/>
  <c r="O8" i="1" l="1"/>
  <c r="H71" i="1"/>
  <c r="O44" i="2"/>
  <c r="H14" i="4" s="1"/>
  <c r="G14" i="8"/>
  <c r="H10" i="5"/>
  <c r="B8" i="8"/>
  <c r="O52" i="1"/>
  <c r="H8" i="4" s="1"/>
  <c r="H7" i="4" s="1"/>
  <c r="O9" i="1"/>
  <c r="G10" i="8"/>
  <c r="J23" i="8"/>
  <c r="J31" i="8" s="1"/>
  <c r="N5" i="8"/>
  <c r="B4" i="8"/>
  <c r="G3" i="4"/>
  <c r="G22" i="4" s="1"/>
  <c r="G23" i="4"/>
  <c r="G24" i="4" s="1"/>
  <c r="G59" i="2"/>
  <c r="G19" i="5"/>
  <c r="N14" i="8"/>
  <c r="J22" i="8"/>
  <c r="K23" i="8"/>
  <c r="K31" i="8" s="1"/>
  <c r="I23" i="8"/>
  <c r="I31" i="8" s="1"/>
  <c r="F33" i="8"/>
  <c r="F21" i="8"/>
  <c r="C3" i="8"/>
  <c r="F10" i="8"/>
  <c r="H6" i="5"/>
  <c r="H18" i="5"/>
  <c r="N19" i="8"/>
  <c r="G18" i="8"/>
  <c r="G22" i="8" s="1"/>
  <c r="G23" i="8" s="1"/>
  <c r="H19" i="5"/>
  <c r="E21" i="8"/>
  <c r="L23" i="8"/>
  <c r="L31" i="8" s="1"/>
  <c r="H23" i="8"/>
  <c r="H31" i="8" s="1"/>
  <c r="E33" i="8"/>
  <c r="O49" i="2"/>
  <c r="H48" i="2"/>
  <c r="G20" i="5"/>
  <c r="G17" i="5"/>
  <c r="H4" i="2"/>
  <c r="H3" i="4"/>
  <c r="H34" i="4" s="1"/>
  <c r="H16" i="3" s="1"/>
  <c r="G39" i="4"/>
  <c r="G21" i="3" s="1"/>
  <c r="G16" i="4"/>
  <c r="G36" i="4"/>
  <c r="G18" i="3" s="1"/>
  <c r="G35" i="4"/>
  <c r="G17" i="3" s="1"/>
  <c r="G36" i="8" l="1"/>
  <c r="G31" i="8"/>
  <c r="G37" i="8" s="1"/>
  <c r="F35" i="8"/>
  <c r="F38" i="8"/>
  <c r="C21" i="8"/>
  <c r="F22" i="8"/>
  <c r="F23" i="8" s="1"/>
  <c r="N4" i="8"/>
  <c r="G15" i="8"/>
  <c r="G38" i="8"/>
  <c r="B7" i="8"/>
  <c r="N7" i="8" s="1"/>
  <c r="N8" i="8"/>
  <c r="H12" i="5"/>
  <c r="N18" i="8"/>
  <c r="H14" i="5"/>
  <c r="H17" i="5" s="1"/>
  <c r="F34" i="8"/>
  <c r="C33" i="8"/>
  <c r="F15" i="8"/>
  <c r="G35" i="8"/>
  <c r="G34" i="8"/>
  <c r="G34" i="4"/>
  <c r="G16" i="3" s="1"/>
  <c r="H59" i="2"/>
  <c r="H22" i="4"/>
  <c r="G37" i="4"/>
  <c r="G19" i="3" s="1"/>
  <c r="G32" i="4"/>
  <c r="G38" i="4" s="1"/>
  <c r="G20" i="3" s="1"/>
  <c r="F31" i="8" l="1"/>
  <c r="F37" i="8" s="1"/>
  <c r="F36" i="8"/>
  <c r="H20" i="5"/>
  <c r="B3" i="8"/>
  <c r="B54" i="2"/>
  <c r="B49" i="2" s="1"/>
  <c r="B48" i="2" s="1"/>
  <c r="F48" i="2"/>
  <c r="F12" i="5" s="1"/>
  <c r="E48" i="2"/>
  <c r="C48" i="2"/>
  <c r="F39" i="2"/>
  <c r="E39" i="2"/>
  <c r="D39" i="2"/>
  <c r="C39" i="2"/>
  <c r="B39" i="2"/>
  <c r="B8" i="5" s="1"/>
  <c r="F34" i="2"/>
  <c r="E34" i="2"/>
  <c r="D34" i="2"/>
  <c r="C34" i="2"/>
  <c r="B34" i="2"/>
  <c r="F18" i="2"/>
  <c r="F16" i="2" s="1"/>
  <c r="E18" i="2"/>
  <c r="E16" i="2" s="1"/>
  <c r="D18" i="2"/>
  <c r="D16" i="2" s="1"/>
  <c r="C18" i="2"/>
  <c r="O18" i="2" s="1"/>
  <c r="B18" i="2"/>
  <c r="B16" i="2" s="1"/>
  <c r="F9" i="2"/>
  <c r="F7" i="2" s="1"/>
  <c r="E9" i="2"/>
  <c r="E7" i="2" s="1"/>
  <c r="D9" i="2"/>
  <c r="D7" i="2" s="1"/>
  <c r="C9" i="2"/>
  <c r="B9" i="2"/>
  <c r="B7" i="2" s="1"/>
  <c r="C8" i="5" l="1"/>
  <c r="B12" i="8"/>
  <c r="O39" i="2"/>
  <c r="H12" i="4" s="1"/>
  <c r="E8" i="5"/>
  <c r="D12" i="8"/>
  <c r="O48" i="2"/>
  <c r="O9" i="2"/>
  <c r="O34" i="2"/>
  <c r="D8" i="5"/>
  <c r="C12" i="8"/>
  <c r="F8" i="5"/>
  <c r="E12" i="8"/>
  <c r="B21" i="8"/>
  <c r="N3" i="8"/>
  <c r="N33" i="8" s="1"/>
  <c r="B33" i="8"/>
  <c r="C16" i="2"/>
  <c r="O16" i="2" s="1"/>
  <c r="C12" i="5"/>
  <c r="C7" i="2"/>
  <c r="O7" i="2" s="1"/>
  <c r="E12" i="5"/>
  <c r="B12" i="5"/>
  <c r="B6" i="2"/>
  <c r="B7" i="5" s="1"/>
  <c r="F6" i="2"/>
  <c r="D6" i="2"/>
  <c r="D48" i="2"/>
  <c r="E6" i="2"/>
  <c r="E7" i="5" l="1"/>
  <c r="D11" i="8"/>
  <c r="D7" i="5"/>
  <c r="C11" i="8"/>
  <c r="N12" i="8"/>
  <c r="F7" i="5"/>
  <c r="E11" i="8"/>
  <c r="N21" i="8"/>
  <c r="C6" i="2"/>
  <c r="D12" i="5"/>
  <c r="D5" i="2"/>
  <c r="D4" i="2" s="1"/>
  <c r="D59" i="2" s="1"/>
  <c r="D6" i="5"/>
  <c r="D19" i="5" s="1"/>
  <c r="B6" i="5"/>
  <c r="E6" i="5"/>
  <c r="E18" i="5" s="1"/>
  <c r="B5" i="2"/>
  <c r="B4" i="2" s="1"/>
  <c r="B59" i="2" s="1"/>
  <c r="F6" i="5"/>
  <c r="F5" i="2"/>
  <c r="F4" i="2" s="1"/>
  <c r="F59" i="2" s="1"/>
  <c r="E5" i="2"/>
  <c r="E4" i="2" s="1"/>
  <c r="E59" i="2" s="1"/>
  <c r="B11" i="8" l="1"/>
  <c r="O6" i="2"/>
  <c r="H11" i="4" s="1"/>
  <c r="E10" i="8"/>
  <c r="C10" i="8"/>
  <c r="D10" i="8"/>
  <c r="C7" i="5"/>
  <c r="C6" i="5" s="1"/>
  <c r="C5" i="2"/>
  <c r="D14" i="5"/>
  <c r="B14" i="5"/>
  <c r="B19" i="5"/>
  <c r="E19" i="5"/>
  <c r="E14" i="5"/>
  <c r="B18" i="5"/>
  <c r="D18" i="5"/>
  <c r="F14" i="5"/>
  <c r="F19" i="5"/>
  <c r="F18" i="5"/>
  <c r="C4" i="2" l="1"/>
  <c r="O5" i="2"/>
  <c r="D38" i="8"/>
  <c r="D15" i="8"/>
  <c r="D22" i="8"/>
  <c r="D23" i="8" s="1"/>
  <c r="D35" i="8"/>
  <c r="C22" i="8"/>
  <c r="C23" i="8" s="1"/>
  <c r="C38" i="8"/>
  <c r="C15" i="8"/>
  <c r="C35" i="8"/>
  <c r="E38" i="8"/>
  <c r="E22" i="8"/>
  <c r="E23" i="8" s="1"/>
  <c r="E15" i="8"/>
  <c r="E35" i="8"/>
  <c r="D34" i="8"/>
  <c r="C34" i="8"/>
  <c r="E34" i="8"/>
  <c r="B10" i="8"/>
  <c r="N11" i="8"/>
  <c r="B34" i="8"/>
  <c r="H10" i="4"/>
  <c r="H35" i="4" s="1"/>
  <c r="H17" i="3" s="1"/>
  <c r="C18" i="5"/>
  <c r="I18" i="5" s="1"/>
  <c r="C14" i="5"/>
  <c r="C19" i="5"/>
  <c r="I19" i="5" s="1"/>
  <c r="D17" i="5"/>
  <c r="D20" i="5"/>
  <c r="B20" i="5"/>
  <c r="B17" i="5"/>
  <c r="E17" i="5"/>
  <c r="E20" i="5"/>
  <c r="F20" i="5"/>
  <c r="F17" i="5"/>
  <c r="N10" i="8" l="1"/>
  <c r="B38" i="8"/>
  <c r="B22" i="8"/>
  <c r="B15" i="8"/>
  <c r="N15" i="8" s="1"/>
  <c r="B35" i="8"/>
  <c r="C31" i="8"/>
  <c r="C37" i="8" s="1"/>
  <c r="C36" i="8"/>
  <c r="D36" i="8"/>
  <c r="D31" i="8"/>
  <c r="D37" i="8" s="1"/>
  <c r="C59" i="2"/>
  <c r="O59" i="2" s="1"/>
  <c r="O4" i="2"/>
  <c r="N34" i="8"/>
  <c r="E31" i="8"/>
  <c r="E37" i="8" s="1"/>
  <c r="E36" i="8"/>
  <c r="C17" i="5"/>
  <c r="I17" i="5" s="1"/>
  <c r="C20" i="5"/>
  <c r="I20" i="5" s="1"/>
  <c r="H36" i="4"/>
  <c r="H18" i="3" s="1"/>
  <c r="H39" i="4"/>
  <c r="H21" i="3" s="1"/>
  <c r="H16" i="4"/>
  <c r="H23" i="4"/>
  <c r="H24" i="4" s="1"/>
  <c r="N22" i="8" l="1"/>
  <c r="B23" i="8"/>
  <c r="N38" i="8"/>
  <c r="N35" i="8"/>
  <c r="H37" i="4"/>
  <c r="H19" i="3" s="1"/>
  <c r="H32" i="4"/>
  <c r="H38" i="4" s="1"/>
  <c r="H20" i="3" s="1"/>
  <c r="G62" i="1"/>
  <c r="B36" i="8" l="1"/>
  <c r="B31" i="8"/>
  <c r="N23" i="8"/>
  <c r="N36" i="8" s="1"/>
  <c r="O62" i="1"/>
  <c r="G71" i="1"/>
  <c r="O71" i="1" s="1"/>
  <c r="B37" i="8" l="1"/>
  <c r="N31" i="8"/>
  <c r="N37" i="8" s="1"/>
</calcChain>
</file>

<file path=xl/sharedStrings.xml><?xml version="1.0" encoding="utf-8"?>
<sst xmlns="http://schemas.openxmlformats.org/spreadsheetml/2006/main" count="464" uniqueCount="302">
  <si>
    <t>MUNICIPALIDAD de CHAJARI</t>
  </si>
  <si>
    <t xml:space="preserve">CLASIFICACION DE LOS RECURSOS </t>
  </si>
  <si>
    <t>Y CUADRO FINANCIERO ANALITICO</t>
  </si>
  <si>
    <t>C  U  E  N  T  A  S</t>
  </si>
  <si>
    <t>RECURSOS CORRIENTES</t>
  </si>
  <si>
    <t>De Jurisdiccion Municipal</t>
  </si>
  <si>
    <t xml:space="preserve"> ** Tasas Municipales</t>
  </si>
  <si>
    <t>01- General Inmobiliaria</t>
  </si>
  <si>
    <t>02- Serv.Sanitarios Agua y Cloacas</t>
  </si>
  <si>
    <t>03- Inspección Sanitaria, Higiene y Seguridad</t>
  </si>
  <si>
    <t>04- Salud Publica Municipal</t>
  </si>
  <si>
    <t>05- Control Vehículos Transporte Público</t>
  </si>
  <si>
    <t>06- Control Bromatológico</t>
  </si>
  <si>
    <t>07- Cementerio</t>
  </si>
  <si>
    <t>08- Vendedores Ambulantes</t>
  </si>
  <si>
    <t>09- Construcciones</t>
  </si>
  <si>
    <t>10- Derecho Oficina y Sellados</t>
  </si>
  <si>
    <t>11- Recupero inclusión social</t>
  </si>
  <si>
    <t>12- Ocupación via publica</t>
  </si>
  <si>
    <t>13- Servicios Sanitarios</t>
  </si>
  <si>
    <t>14- Recolección residuos patologicos</t>
  </si>
  <si>
    <t xml:space="preserve">15- Multas y Recargos </t>
  </si>
  <si>
    <t>16- Contribución por mejoras: Pavimento</t>
  </si>
  <si>
    <t>17- Contribución por mejoras: Veredas</t>
  </si>
  <si>
    <t>18- Contrib.por mejoras: Agua</t>
  </si>
  <si>
    <t>19-Contribucion por mejoras: Alumbrado</t>
  </si>
  <si>
    <t>20-Contribucion por mejoras: Cloacas</t>
  </si>
  <si>
    <t>21- Espectáculos Públicos</t>
  </si>
  <si>
    <t>22- Fondo para Infraestructura</t>
  </si>
  <si>
    <t>23- Inspección Instalac.Electr.y Medidores</t>
  </si>
  <si>
    <t>24- Multas Código de Faltas</t>
  </si>
  <si>
    <t>25- Fondo Defensa Civil</t>
  </si>
  <si>
    <t xml:space="preserve"> ** Otros Ingresos de Jurisd.Munic.</t>
  </si>
  <si>
    <t>01- Canon Varios</t>
  </si>
  <si>
    <t>02- Ingresos Varios</t>
  </si>
  <si>
    <t>03- Balneario Camping</t>
  </si>
  <si>
    <t>05- Fondo voluntario bomberos</t>
  </si>
  <si>
    <t>06- Ingresos Termas</t>
  </si>
  <si>
    <t>12- Ingresos Dirección Deportes</t>
  </si>
  <si>
    <t>13- Ingresos Dirección Servicios Públicos</t>
  </si>
  <si>
    <t>14- Residencia estudiantil</t>
  </si>
  <si>
    <t>15- Empresa constructora municipal</t>
  </si>
  <si>
    <t>16- Instituto municipal de vivienda</t>
  </si>
  <si>
    <t>18- Publicidad</t>
  </si>
  <si>
    <t>20- Canon Mercado Popular</t>
  </si>
  <si>
    <t>DE OTRAS JURISDICCIONES</t>
  </si>
  <si>
    <t xml:space="preserve"> ** De Jurisdiccion Provincial</t>
  </si>
  <si>
    <t>01- Particip.Impuestos Provinciales</t>
  </si>
  <si>
    <t>RECURSOS DE CAPITAL</t>
  </si>
  <si>
    <t>02- Venta de Activo Fijo</t>
  </si>
  <si>
    <t>FINANCIAMIENTO</t>
  </si>
  <si>
    <t>01- Financiamiento</t>
  </si>
  <si>
    <t>18- Fondo Federal Solidario</t>
  </si>
  <si>
    <t>TOTAL CALCULO DE RECURSOS</t>
  </si>
  <si>
    <t>CONCEPTO</t>
  </si>
  <si>
    <t>EROGACIONES CORRIENTES</t>
  </si>
  <si>
    <t>OPERACION</t>
  </si>
  <si>
    <t xml:space="preserve">      PLANTA PERMANENTE</t>
  </si>
  <si>
    <t xml:space="preserve">      REMUNERACIONES</t>
  </si>
  <si>
    <t xml:space="preserve">      ADICIONALES</t>
  </si>
  <si>
    <t xml:space="preserve">       BONIFICACION POR ANTIGUEDAD</t>
  </si>
  <si>
    <t xml:space="preserve">       BONIFICACION POR TITULO</t>
  </si>
  <si>
    <t xml:space="preserve">       GASTOS REPRESENTACION</t>
  </si>
  <si>
    <t xml:space="preserve">       PERMANENCIA EN CATEGORIA</t>
  </si>
  <si>
    <t>BIENES DE CONSUMO</t>
  </si>
  <si>
    <t>SERVICIOS NO PERSONALES</t>
  </si>
  <si>
    <t>TRANSFERENCIAS</t>
  </si>
  <si>
    <t>EROGACIONES DE CAPITAL</t>
  </si>
  <si>
    <t>PRESUPUESTO</t>
  </si>
  <si>
    <t>ENERO</t>
  </si>
  <si>
    <t>FEBRERO</t>
  </si>
  <si>
    <t>MARZO</t>
  </si>
  <si>
    <t xml:space="preserve">FEBRERO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</si>
  <si>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</si>
  <si>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</si>
  <si>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</si>
  <si>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</si>
  <si>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</si>
  <si>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</si>
  <si>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</si>
  <si>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</si>
  <si>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</si>
  <si>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17- Espectáculos Públicos</t>
  </si>
  <si>
    <t>Venta Lotes Ord 1337</t>
  </si>
  <si>
    <t>Imp. Automotor</t>
  </si>
  <si>
    <t>Imp. Inmobiliario</t>
  </si>
  <si>
    <t>Imp. Ing. Brutos</t>
  </si>
  <si>
    <t>** De Jurisdicción Nacional</t>
  </si>
  <si>
    <t>Part. Impuestos Nacionales</t>
  </si>
  <si>
    <t>Fondo Federal Solidario</t>
  </si>
  <si>
    <t>Aportes No Reintegrables</t>
  </si>
  <si>
    <t>Hogar De Ancianos</t>
  </si>
  <si>
    <t>Programa Más Cerca</t>
  </si>
  <si>
    <t>Plan Nacer</t>
  </si>
  <si>
    <t>Programa Mejor Vivir</t>
  </si>
  <si>
    <t xml:space="preserve">       ADICIONALES POR TAREAS</t>
  </si>
  <si>
    <t xml:space="preserve">       SUELDO ANUAL COMPLEMENTARIO</t>
  </si>
  <si>
    <t xml:space="preserve">       PERSONAL TEMPORARIO</t>
  </si>
  <si>
    <t xml:space="preserve">       REMUNERACIONES</t>
  </si>
  <si>
    <t xml:space="preserve">       ADICIONALES</t>
  </si>
  <si>
    <t xml:space="preserve">       BONIFICACION POR ANTIGÜEDAD</t>
  </si>
  <si>
    <t>BONIFICACION POR TITULO</t>
  </si>
  <si>
    <t>PERMANENCIA EN CATEGORIA</t>
  </si>
  <si>
    <t>ADICIONAL POR TAREAS</t>
  </si>
  <si>
    <t>SUELDO ANUAL COMPLEMENTARIO</t>
  </si>
  <si>
    <t>ASIGNACIONES FAMILIARES</t>
  </si>
  <si>
    <t>SERVICIOS EXTRAORDINARIOS</t>
  </si>
  <si>
    <t>PERSONAL SUPERNUMERARIO</t>
  </si>
  <si>
    <t>DIETAS H.C.D.</t>
  </si>
  <si>
    <t>ADICIONALES NO REMUN. NO BONIFICABLES</t>
  </si>
  <si>
    <t>PRESENTISMO</t>
  </si>
  <si>
    <t>PREMIOS</t>
  </si>
  <si>
    <t>GASTOS RESPONS. FUNCIONAL</t>
  </si>
  <si>
    <t>JUBILACION ANTICIPADA</t>
  </si>
  <si>
    <t>CONTRIBUCIONES</t>
  </si>
  <si>
    <t>CAJA DE JUBILACIONES</t>
  </si>
  <si>
    <t>IOSPER</t>
  </si>
  <si>
    <t>L.R.T.</t>
  </si>
  <si>
    <t>AEGURO DE VIDA</t>
  </si>
  <si>
    <t>BIENES Y SERVICIOS NO PERSONALES</t>
  </si>
  <si>
    <t>INTERESES DE LA DEUDA</t>
  </si>
  <si>
    <t>TRANSFERENCIAS P/FCIAR EROG CTES.</t>
  </si>
  <si>
    <t>ACT. NO LUCRATIVAS</t>
  </si>
  <si>
    <t>ASISTENCIA SOCIAL</t>
  </si>
  <si>
    <t>INVERESION REAL</t>
  </si>
  <si>
    <t>BIENES DE CAPITAL</t>
  </si>
  <si>
    <t>EQUIPAMIENTOS SERVICIOS PUBLICOS</t>
  </si>
  <si>
    <t>INVERSIONES ADMINISTRATIVAS</t>
  </si>
  <si>
    <t>BIENES CAPITAL SIN DISCRIMINAR</t>
  </si>
  <si>
    <t>TRABAJOS PUBLICOS</t>
  </si>
  <si>
    <t>POR ADMINISTRACION</t>
  </si>
  <si>
    <t>OTRAS EROGACIONES</t>
  </si>
  <si>
    <t>EROG P/ATENDER AMORT. DEUDA</t>
  </si>
  <si>
    <t>CREDITO ADICIONAL PARA OPERACIONES CORRIENTES</t>
  </si>
  <si>
    <t>AMORTIZACION DEUDA</t>
  </si>
  <si>
    <t>PERSONAL</t>
  </si>
  <si>
    <t>TOTAL</t>
  </si>
  <si>
    <t>DE LAS EROGACIONES</t>
  </si>
  <si>
    <t>CUADRO 1 - EJECUCION PRESUPUESTARIA - RESUMEN</t>
  </si>
  <si>
    <t>INDICADORES</t>
  </si>
  <si>
    <t>Peronal sobre total erogaciones</t>
  </si>
  <si>
    <t>Personal sobre erogaciones corrientes</t>
  </si>
  <si>
    <t>Erogaciones de capital sobre erogaciones totales</t>
  </si>
  <si>
    <t>Bienes y servicios  sobre erogaciones corrientes</t>
  </si>
  <si>
    <t>GOBIERNO DE LA CIUDAD DE CHAJARI</t>
  </si>
  <si>
    <t xml:space="preserve">EJECUCIONES PRESUPUESARIAS </t>
  </si>
  <si>
    <t>INDICE</t>
  </si>
  <si>
    <t>CALCULO DE RECURSOS</t>
  </si>
  <si>
    <t>EJECUCION DE LAS EROGACIONES</t>
  </si>
  <si>
    <t>RESUMEN DE EROGACIONES - PRINICPALES CUENTAS</t>
  </si>
  <si>
    <t>VOLVER INDICE</t>
  </si>
  <si>
    <t>De jurisdiccion municipal</t>
  </si>
  <si>
    <t>Tasas Municipales</t>
  </si>
  <si>
    <t>Otros ingresos Jurisdiccion Municipal</t>
  </si>
  <si>
    <t>De otras jurisdicciones</t>
  </si>
  <si>
    <t>De jurisdiccion provincial</t>
  </si>
  <si>
    <t>De jurisdiccion Nacional</t>
  </si>
  <si>
    <t>Erogaciones Corrientes</t>
  </si>
  <si>
    <t>Personal</t>
  </si>
  <si>
    <t>Bienes y Servicios No personales</t>
  </si>
  <si>
    <t>Intereses de la deuda</t>
  </si>
  <si>
    <t xml:space="preserve">Transferencias </t>
  </si>
  <si>
    <t>Credito adicional para incremento salarios</t>
  </si>
  <si>
    <t>Ahorro Corriente</t>
  </si>
  <si>
    <t>Recursos de Capital</t>
  </si>
  <si>
    <t>Recurso de capital propio</t>
  </si>
  <si>
    <t>Erogaciones de Capital</t>
  </si>
  <si>
    <t>Bienes de Capital</t>
  </si>
  <si>
    <t>Trabajos Públicos</t>
  </si>
  <si>
    <t>Total de Recursos</t>
  </si>
  <si>
    <t>Total de Erogaciones</t>
  </si>
  <si>
    <t>Resultado Financero</t>
  </si>
  <si>
    <t>Fuentes de Financiamiento</t>
  </si>
  <si>
    <t>Uso del Credito</t>
  </si>
  <si>
    <t>Aporte No Reintegrable</t>
  </si>
  <si>
    <t>Aplicaciones Financieras</t>
  </si>
  <si>
    <t>Amortizacion de la deuda</t>
  </si>
  <si>
    <t xml:space="preserve">Saldos afectados </t>
  </si>
  <si>
    <t>RESULTADO FINAL</t>
  </si>
  <si>
    <t>Algunos indicadores.</t>
  </si>
  <si>
    <t>Ingresos propios/recurso corriente</t>
  </si>
  <si>
    <t>Personal / Erogaciones corrientes</t>
  </si>
  <si>
    <t>B. y serv no pers / Erogaciones corrientes</t>
  </si>
  <si>
    <t>Resultado financiero / Recursos corrientes</t>
  </si>
  <si>
    <t>Resuiltado final / Total de recursos</t>
  </si>
  <si>
    <t>Gastos operación/total recursos</t>
  </si>
  <si>
    <t>COMPARATIVA ANUAL - Esquema AHORRO INVERSION</t>
  </si>
  <si>
    <t>Volver índice</t>
  </si>
  <si>
    <t>SUMA</t>
  </si>
  <si>
    <t>SEPTIEMBRE</t>
  </si>
  <si>
    <t xml:space="preserve">EJECUCION DEL GASTO - RESUMEN PRINCIPALES CUENTAS </t>
  </si>
  <si>
    <t>Volver a índice</t>
  </si>
  <si>
    <t xml:space="preserve">PERSONAL   </t>
  </si>
  <si>
    <t>ATN</t>
  </si>
  <si>
    <t>OTRAS DIETAS</t>
  </si>
  <si>
    <t>Promedio</t>
  </si>
  <si>
    <t>PLANILLA ANALITICA DE BIENES Y SERVICIOS</t>
  </si>
  <si>
    <t>SERVICIOS</t>
  </si>
  <si>
    <t>Subpartida</t>
  </si>
  <si>
    <t>Denominación</t>
  </si>
  <si>
    <t>Presupueto 2016</t>
  </si>
  <si>
    <t>Enero</t>
  </si>
  <si>
    <t>Febrero</t>
  </si>
  <si>
    <t>Marzo</t>
  </si>
  <si>
    <t>Al 31/05/2016</t>
  </si>
  <si>
    <t>Alquileres</t>
  </si>
  <si>
    <t>Comisiones</t>
  </si>
  <si>
    <t>Comunicaciones (internet)</t>
  </si>
  <si>
    <t>Reparaciones</t>
  </si>
  <si>
    <t>Gomería</t>
  </si>
  <si>
    <t>Correo</t>
  </si>
  <si>
    <t>Electricidad</t>
  </si>
  <si>
    <t>Gastos Judiciales</t>
  </si>
  <si>
    <t>Honorarios</t>
  </si>
  <si>
    <t>Hospedaje</t>
  </si>
  <si>
    <t>Pasajes</t>
  </si>
  <si>
    <t>Publicidad</t>
  </si>
  <si>
    <t>Contratos</t>
  </si>
  <si>
    <t>Seguros</t>
  </si>
  <si>
    <t>Teléfonos</t>
  </si>
  <si>
    <t>Transporte</t>
  </si>
  <si>
    <t>Viáticos</t>
  </si>
  <si>
    <t>Nafta</t>
  </si>
  <si>
    <t>Gas Oil</t>
  </si>
  <si>
    <t>Lubricantes</t>
  </si>
  <si>
    <t>Neumaticos</t>
  </si>
  <si>
    <t>Repuestos</t>
  </si>
  <si>
    <t>Impresos</t>
  </si>
  <si>
    <t>Limpieza</t>
  </si>
  <si>
    <t>Materiales No invent.</t>
  </si>
  <si>
    <t>Ropa de trabajo</t>
  </si>
  <si>
    <t>Cursos y capacitaciones</t>
  </si>
  <si>
    <t>Repuestos de computación</t>
  </si>
  <si>
    <t>Racionamiento</t>
  </si>
  <si>
    <t>Distinciones y ofrendas</t>
  </si>
  <si>
    <t>Varios obras sanitarias</t>
  </si>
  <si>
    <t>Ins. Alumbrado publico</t>
  </si>
  <si>
    <t>Farmacia</t>
  </si>
  <si>
    <t>GNC</t>
  </si>
  <si>
    <t>COMPARATIVA DE BIENES Y SERVICIOS NO PERSONALES POR CUENTA</t>
  </si>
  <si>
    <t>TGI</t>
  </si>
  <si>
    <t>AGUA CLOACA</t>
  </si>
  <si>
    <t>F. D. CIVIL</t>
  </si>
  <si>
    <t>HIGIENE</t>
  </si>
  <si>
    <t>FONDO INFRA.</t>
  </si>
  <si>
    <t>MULTAS Y REC.</t>
  </si>
  <si>
    <t>ING. TERMAS</t>
  </si>
  <si>
    <t>TOTALES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</si>
  <si>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</si>
  <si>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</si>
  <si>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</si>
  <si>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</si>
  <si>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</si>
  <si>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</si>
  <si>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</si>
  <si>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</si>
  <si>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</si>
  <si>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PROM.</t>
  </si>
  <si>
    <t>05/2016</t>
  </si>
  <si>
    <t>DIF.</t>
  </si>
  <si>
    <t>PROYECCION</t>
  </si>
  <si>
    <t>MESES EJECUTADOS=</t>
  </si>
  <si>
    <t>RESUMEN DEL CALCULO DE RECUSOS - PRINCIPALES TASAS</t>
  </si>
  <si>
    <t>PRINCIPALES TASAS</t>
  </si>
  <si>
    <t>Volver al inicio</t>
  </si>
  <si>
    <t>Total tasas 2015</t>
  </si>
  <si>
    <t>Total tasas 2016</t>
  </si>
  <si>
    <t>COMPARATIVA ANUAL - ESQUEMA AHORRO INVERSSION</t>
  </si>
  <si>
    <t>Ejecución de las erogaciones</t>
  </si>
  <si>
    <t>SEPTIEMRE</t>
  </si>
  <si>
    <t>COMPATATIVA MENSUAL - ESQUEMA AHORRO INVERSION</t>
  </si>
  <si>
    <t>VOLVER AL INDICE</t>
  </si>
  <si>
    <t>COMPARATIVA MENSUAL - Esquema AHORRO INVERSION -2015</t>
  </si>
  <si>
    <t>INVERSION</t>
  </si>
  <si>
    <t>RESULTADO FINANCIERO</t>
  </si>
  <si>
    <t>DIFERENCIA</t>
  </si>
  <si>
    <t>DIF. %</t>
  </si>
  <si>
    <t>AJUSTADO INFLACION</t>
  </si>
  <si>
    <t>COMPARATIVA MENSUAL - Esquema AHORRO INVERSION - 2016</t>
  </si>
  <si>
    <t>volver al inicio</t>
  </si>
  <si>
    <t>Al 31/01/2016</t>
  </si>
  <si>
    <t>Al 28/02/2016</t>
  </si>
  <si>
    <t>Al 31/03/2016</t>
  </si>
  <si>
    <t>Al 30/04/2016</t>
  </si>
  <si>
    <t>Al 30/06/2016</t>
  </si>
  <si>
    <t>TOTAL SEMESTRE</t>
  </si>
  <si>
    <t xml:space="preserve">ENERO </t>
  </si>
  <si>
    <t>SEMESTRE</t>
  </si>
  <si>
    <t>semestre 2015</t>
  </si>
  <si>
    <t>2015 proyectado con inflación</t>
  </si>
  <si>
    <t>Proyeccion gasto fin de año</t>
  </si>
  <si>
    <t>Ajuste presupuestario</t>
  </si>
  <si>
    <t>Diferencia en gasto ajustado por inflación</t>
  </si>
  <si>
    <t>MENSUAL</t>
  </si>
  <si>
    <t>Diferencia semestre</t>
  </si>
  <si>
    <t>RESULTADO FINAL 2015</t>
  </si>
  <si>
    <t>RESULTADO FINAL 2016</t>
  </si>
  <si>
    <t>Semestre</t>
  </si>
  <si>
    <t>Ingresos totales menos Gastos totales</t>
  </si>
  <si>
    <t xml:space="preserve">En resumen: </t>
  </si>
  <si>
    <t>En terminos comparativos ingresos - egresos el primer semestre fue superavitario (ver comparativa anual 5 - comparativa mensual 6).</t>
  </si>
  <si>
    <t>En terminos monetarios mas de 30 millones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</si>
</sst>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_ ;_ &quot;$&quot;\ * \-#,##0_ ;_ &quot;$&quot;\ * &quot;-&quot;??_ ;_ @_ "/>
    <numFmt numFmtId="165" formatCode="0.0%"/>
    <numFmt numFmtId="166" formatCode="_(&quot;$&quot;* #,##0.00_);_(&quot;$&quot;* \(#,##0.00\);_(&quot;$&quot;* &quot;-&quot;??_);_(@_)"/>
    <numFmt numFmtId="167" formatCode="_ * #,##0_ ;_ * \-#,##0_ ;_ * &quot;-&quot;??_ ;_ @_ "/>
    <numFmt numFmtId="168" formatCode="0.000%"/>
  </numFmts>
  <fonts count="5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6"/>
      <color theme="1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22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Arial"/>
      <family val="2"/>
    </font>
    <font>
      <u/>
      <sz val="14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24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7" fillId="0" borderId="1" xfId="0" applyFont="1" applyBorder="1"/>
    <xf numFmtId="0" fontId="7" fillId="2" borderId="1" xfId="0" applyFont="1" applyFill="1" applyBorder="1"/>
    <xf numFmtId="0" fontId="9" fillId="0" borderId="0" xfId="0" applyFont="1"/>
    <xf numFmtId="0" fontId="7" fillId="0" borderId="2" xfId="0" applyFont="1" applyBorder="1"/>
    <xf numFmtId="0" fontId="7" fillId="3" borderId="1" xfId="0" applyFont="1" applyFill="1" applyBorder="1"/>
    <xf numFmtId="0" fontId="6" fillId="0" borderId="1" xfId="0" applyFont="1" applyBorder="1"/>
    <xf numFmtId="0" fontId="6" fillId="7" borderId="1" xfId="0" applyFont="1" applyFill="1" applyBorder="1"/>
    <xf numFmtId="0" fontId="7" fillId="0" borderId="1" xfId="0" applyFont="1" applyFill="1" applyBorder="1"/>
    <xf numFmtId="44" fontId="13" fillId="0" borderId="0" xfId="1" applyFont="1" applyBorder="1"/>
    <xf numFmtId="44" fontId="7" fillId="0" borderId="0" xfId="1" applyFont="1" applyBorder="1"/>
    <xf numFmtId="0" fontId="0" fillId="0" borderId="0" xfId="0" applyAlignment="1">
      <alignment horizontal="center"/>
    </xf>
    <xf numFmtId="44" fontId="3" fillId="0" borderId="0" xfId="1" applyFont="1"/>
    <xf numFmtId="44" fontId="4" fillId="0" borderId="0" xfId="1" applyFont="1"/>
    <xf numFmtId="44" fontId="5" fillId="0" borderId="0" xfId="1" applyFont="1"/>
    <xf numFmtId="44" fontId="7" fillId="0" borderId="0" xfId="1" applyFont="1"/>
    <xf numFmtId="0" fontId="7" fillId="0" borderId="1" xfId="0" applyFont="1" applyFill="1" applyBorder="1" applyAlignment="1">
      <alignment horizontal="left"/>
    </xf>
    <xf numFmtId="44" fontId="0" fillId="0" borderId="1" xfId="1" applyFont="1" applyFill="1" applyBorder="1"/>
    <xf numFmtId="0" fontId="6" fillId="5" borderId="1" xfId="0" applyFont="1" applyFill="1" applyBorder="1"/>
    <xf numFmtId="44" fontId="12" fillId="5" borderId="1" xfId="1" applyFont="1" applyFill="1" applyBorder="1"/>
    <xf numFmtId="44" fontId="0" fillId="7" borderId="1" xfId="1" applyFont="1" applyFill="1" applyBorder="1"/>
    <xf numFmtId="0" fontId="6" fillId="4" borderId="1" xfId="0" applyFont="1" applyFill="1" applyBorder="1"/>
    <xf numFmtId="44" fontId="12" fillId="4" borderId="1" xfId="1" applyFont="1" applyFill="1" applyBorder="1"/>
    <xf numFmtId="0" fontId="7" fillId="7" borderId="1" xfId="0" applyFont="1" applyFill="1" applyBorder="1"/>
    <xf numFmtId="0" fontId="7" fillId="5" borderId="1" xfId="0" applyFont="1" applyFill="1" applyBorder="1"/>
    <xf numFmtId="44" fontId="0" fillId="5" borderId="1" xfId="1" applyFont="1" applyFill="1" applyBorder="1"/>
    <xf numFmtId="0" fontId="7" fillId="0" borderId="4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44" fontId="0" fillId="9" borderId="1" xfId="0" applyNumberFormat="1" applyFill="1" applyBorder="1"/>
    <xf numFmtId="44" fontId="0" fillId="9" borderId="1" xfId="0" applyNumberFormat="1" applyFont="1" applyFill="1" applyBorder="1"/>
    <xf numFmtId="0" fontId="6" fillId="8" borderId="3" xfId="0" applyFont="1" applyFill="1" applyBorder="1"/>
    <xf numFmtId="0" fontId="6" fillId="8" borderId="1" xfId="0" applyFont="1" applyFill="1" applyBorder="1"/>
    <xf numFmtId="44" fontId="11" fillId="6" borderId="0" xfId="0" applyNumberFormat="1" applyFont="1" applyFill="1" applyBorder="1"/>
    <xf numFmtId="0" fontId="14" fillId="6" borderId="3" xfId="0" applyFont="1" applyFill="1" applyBorder="1"/>
    <xf numFmtId="0" fontId="7" fillId="0" borderId="0" xfId="0" applyFont="1" applyFill="1" applyBorder="1"/>
    <xf numFmtId="0" fontId="15" fillId="0" borderId="0" xfId="0" applyFont="1"/>
    <xf numFmtId="44" fontId="12" fillId="8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2" fillId="6" borderId="0" xfId="0" applyFont="1" applyFill="1"/>
    <xf numFmtId="164" fontId="22" fillId="6" borderId="0" xfId="1" applyNumberFormat="1" applyFont="1" applyFill="1"/>
    <xf numFmtId="164" fontId="22" fillId="6" borderId="0" xfId="0" applyNumberFormat="1" applyFont="1" applyFill="1"/>
    <xf numFmtId="164" fontId="0" fillId="0" borderId="0" xfId="1" applyNumberFormat="1" applyFont="1"/>
    <xf numFmtId="164" fontId="0" fillId="0" borderId="0" xfId="0" applyNumberFormat="1"/>
    <xf numFmtId="0" fontId="0" fillId="15" borderId="0" xfId="0" applyFill="1"/>
    <xf numFmtId="164" fontId="4" fillId="15" borderId="0" xfId="1" applyNumberFormat="1" applyFont="1" applyFill="1"/>
    <xf numFmtId="164" fontId="0" fillId="15" borderId="0" xfId="0" applyNumberFormat="1" applyFill="1"/>
    <xf numFmtId="0" fontId="0" fillId="7" borderId="0" xfId="0" applyFill="1"/>
    <xf numFmtId="164" fontId="4" fillId="7" borderId="0" xfId="1" applyNumberFormat="1" applyFont="1" applyFill="1"/>
    <xf numFmtId="0" fontId="4" fillId="14" borderId="0" xfId="0" applyFont="1" applyFill="1"/>
    <xf numFmtId="164" fontId="4" fillId="14" borderId="0" xfId="1" applyNumberFormat="1" applyFont="1" applyFill="1"/>
    <xf numFmtId="164" fontId="0" fillId="0" borderId="0" xfId="1" applyNumberFormat="1" applyFont="1" applyFill="1"/>
    <xf numFmtId="0" fontId="23" fillId="11" borderId="0" xfId="0" applyFont="1" applyFill="1"/>
    <xf numFmtId="164" fontId="23" fillId="11" borderId="0" xfId="1" applyNumberFormat="1" applyFont="1" applyFill="1"/>
    <xf numFmtId="0" fontId="4" fillId="7" borderId="0" xfId="0" applyFont="1" applyFill="1"/>
    <xf numFmtId="164" fontId="0" fillId="7" borderId="0" xfId="1" applyNumberFormat="1" applyFont="1" applyFill="1"/>
    <xf numFmtId="0" fontId="26" fillId="7" borderId="1" xfId="0" applyFont="1" applyFill="1" applyBorder="1"/>
    <xf numFmtId="165" fontId="4" fillId="7" borderId="1" xfId="2" applyNumberFormat="1" applyFont="1" applyFill="1" applyBorder="1"/>
    <xf numFmtId="0" fontId="26" fillId="0" borderId="1" xfId="0" applyFont="1" applyBorder="1"/>
    <xf numFmtId="165" fontId="0" fillId="0" borderId="1" xfId="2" applyNumberFormat="1" applyFont="1" applyBorder="1"/>
    <xf numFmtId="165" fontId="25" fillId="7" borderId="1" xfId="2" applyNumberFormat="1" applyFont="1" applyFill="1" applyBorder="1"/>
    <xf numFmtId="165" fontId="27" fillId="7" borderId="1" xfId="2" applyNumberFormat="1" applyFont="1" applyFill="1" applyBorder="1"/>
    <xf numFmtId="0" fontId="26" fillId="0" borderId="1" xfId="0" applyFont="1" applyFill="1" applyBorder="1"/>
    <xf numFmtId="165" fontId="25" fillId="0" borderId="1" xfId="2" applyNumberFormat="1" applyFont="1" applyBorder="1"/>
    <xf numFmtId="0" fontId="8" fillId="7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0" fontId="8" fillId="8" borderId="1" xfId="0" applyFont="1" applyFill="1" applyBorder="1"/>
    <xf numFmtId="0" fontId="29" fillId="12" borderId="1" xfId="0" applyFont="1" applyFill="1" applyBorder="1"/>
    <xf numFmtId="2" fontId="0" fillId="7" borderId="1" xfId="0" applyNumberFormat="1" applyFill="1" applyBorder="1"/>
    <xf numFmtId="0" fontId="6" fillId="12" borderId="1" xfId="0" applyFont="1" applyFill="1" applyBorder="1"/>
    <xf numFmtId="44" fontId="12" fillId="12" borderId="1" xfId="1" applyFont="1" applyFill="1" applyBorder="1"/>
    <xf numFmtId="44" fontId="12" fillId="7" borderId="1" xfId="1" applyFont="1" applyFill="1" applyBorder="1"/>
    <xf numFmtId="44" fontId="0" fillId="0" borderId="0" xfId="0" applyNumberFormat="1"/>
    <xf numFmtId="0" fontId="23" fillId="16" borderId="6" xfId="0" applyFont="1" applyFill="1" applyBorder="1"/>
    <xf numFmtId="164" fontId="23" fillId="16" borderId="7" xfId="1" applyNumberFormat="1" applyFont="1" applyFill="1" applyBorder="1"/>
    <xf numFmtId="164" fontId="23" fillId="16" borderId="8" xfId="1" applyNumberFormat="1" applyFont="1" applyFill="1" applyBorder="1"/>
    <xf numFmtId="0" fontId="22" fillId="16" borderId="6" xfId="0" applyFont="1" applyFill="1" applyBorder="1"/>
    <xf numFmtId="164" fontId="30" fillId="16" borderId="7" xfId="1" applyNumberFormat="1" applyFont="1" applyFill="1" applyBorder="1"/>
    <xf numFmtId="164" fontId="30" fillId="16" borderId="8" xfId="1" applyNumberFormat="1" applyFont="1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4" fontId="7" fillId="5" borderId="1" xfId="1" applyFont="1" applyFill="1" applyBorder="1"/>
    <xf numFmtId="44" fontId="7" fillId="5" borderId="1" xfId="0" applyNumberFormat="1" applyFont="1" applyFill="1" applyBorder="1"/>
    <xf numFmtId="44" fontId="7" fillId="7" borderId="1" xfId="1" applyFont="1" applyFill="1" applyBorder="1"/>
    <xf numFmtId="44" fontId="7" fillId="4" borderId="1" xfId="1" applyFont="1" applyFill="1" applyBorder="1"/>
    <xf numFmtId="0" fontId="7" fillId="4" borderId="1" xfId="0" applyFont="1" applyFill="1" applyBorder="1"/>
    <xf numFmtId="44" fontId="7" fillId="0" borderId="1" xfId="1" applyFont="1" applyBorder="1"/>
    <xf numFmtId="44" fontId="7" fillId="8" borderId="1" xfId="1" applyFont="1" applyFill="1" applyBorder="1"/>
    <xf numFmtId="0" fontId="7" fillId="8" borderId="1" xfId="0" applyFont="1" applyFill="1" applyBorder="1"/>
    <xf numFmtId="44" fontId="4" fillId="0" borderId="1" xfId="1" applyFont="1" applyBorder="1"/>
    <xf numFmtId="0" fontId="4" fillId="0" borderId="1" xfId="0" applyFont="1" applyBorder="1"/>
    <xf numFmtId="44" fontId="7" fillId="12" borderId="1" xfId="1" applyFont="1" applyFill="1" applyBorder="1"/>
    <xf numFmtId="0" fontId="4" fillId="12" borderId="1" xfId="0" applyFont="1" applyFill="1" applyBorder="1"/>
    <xf numFmtId="0" fontId="8" fillId="2" borderId="1" xfId="0" applyFont="1" applyFill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44" fontId="12" fillId="4" borderId="9" xfId="1" applyFont="1" applyFill="1" applyBorder="1"/>
    <xf numFmtId="10" fontId="0" fillId="0" borderId="0" xfId="2" applyNumberFormat="1" applyFont="1"/>
    <xf numFmtId="0" fontId="0" fillId="5" borderId="0" xfId="0" applyFill="1"/>
    <xf numFmtId="44" fontId="0" fillId="0" borderId="1" xfId="1" applyFont="1" applyBorder="1"/>
    <xf numFmtId="0" fontId="25" fillId="2" borderId="0" xfId="0" applyFont="1" applyFill="1"/>
    <xf numFmtId="0" fontId="0" fillId="2" borderId="0" xfId="0" applyFill="1"/>
    <xf numFmtId="0" fontId="0" fillId="2" borderId="0" xfId="0" applyFill="1" applyBorder="1"/>
    <xf numFmtId="0" fontId="25" fillId="2" borderId="1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0" fillId="2" borderId="12" xfId="0" applyFill="1" applyBorder="1"/>
    <xf numFmtId="0" fontId="25" fillId="2" borderId="9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44" fontId="10" fillId="2" borderId="9" xfId="1" applyFill="1" applyBorder="1"/>
    <xf numFmtId="44" fontId="25" fillId="2" borderId="9" xfId="1" applyFont="1" applyFill="1" applyBorder="1"/>
    <xf numFmtId="44" fontId="25" fillId="2" borderId="13" xfId="1" applyFont="1" applyFill="1" applyBorder="1"/>
    <xf numFmtId="0" fontId="25" fillId="2" borderId="14" xfId="0" applyFont="1" applyFill="1" applyBorder="1" applyAlignment="1">
      <alignment horizontal="center"/>
    </xf>
    <xf numFmtId="44" fontId="25" fillId="2" borderId="3" xfId="1" applyFont="1" applyFill="1" applyBorder="1"/>
    <xf numFmtId="2" fontId="6" fillId="2" borderId="3" xfId="1" applyNumberFormat="1" applyFont="1" applyFill="1" applyBorder="1"/>
    <xf numFmtId="0" fontId="25" fillId="2" borderId="15" xfId="0" applyFont="1" applyFill="1" applyBorder="1" applyAlignment="1">
      <alignment horizontal="center"/>
    </xf>
    <xf numFmtId="44" fontId="25" fillId="2" borderId="15" xfId="1" applyFont="1" applyFill="1" applyBorder="1"/>
    <xf numFmtId="0" fontId="25" fillId="2" borderId="16" xfId="0" applyFont="1" applyFill="1" applyBorder="1" applyAlignment="1">
      <alignment horizontal="center"/>
    </xf>
    <xf numFmtId="44" fontId="25" fillId="2" borderId="1" xfId="1" applyFont="1" applyFill="1" applyBorder="1"/>
    <xf numFmtId="49" fontId="25" fillId="2" borderId="16" xfId="0" applyNumberFormat="1" applyFont="1" applyFill="1" applyBorder="1" applyAlignment="1">
      <alignment horizontal="center"/>
    </xf>
    <xf numFmtId="166" fontId="25" fillId="2" borderId="1" xfId="0" applyNumberFormat="1" applyFont="1" applyFill="1" applyBorder="1"/>
    <xf numFmtId="0" fontId="25" fillId="2" borderId="17" xfId="0" applyFont="1" applyFill="1" applyBorder="1" applyAlignment="1">
      <alignment horizontal="center"/>
    </xf>
    <xf numFmtId="44" fontId="25" fillId="2" borderId="18" xfId="1" applyFont="1" applyFill="1" applyBorder="1"/>
    <xf numFmtId="0" fontId="0" fillId="17" borderId="0" xfId="0" applyFill="1"/>
    <xf numFmtId="0" fontId="25" fillId="17" borderId="0" xfId="0" applyFont="1" applyFill="1"/>
    <xf numFmtId="0" fontId="25" fillId="0" borderId="0" xfId="0" applyFont="1" applyFill="1"/>
    <xf numFmtId="166" fontId="0" fillId="2" borderId="0" xfId="0" applyNumberFormat="1" applyFill="1"/>
    <xf numFmtId="10" fontId="0" fillId="2" borderId="0" xfId="0" applyNumberFormat="1" applyFill="1"/>
    <xf numFmtId="166" fontId="0" fillId="2" borderId="0" xfId="0" applyNumberFormat="1" applyFill="1" applyBorder="1"/>
    <xf numFmtId="43" fontId="0" fillId="2" borderId="0" xfId="0" applyNumberFormat="1" applyFill="1"/>
    <xf numFmtId="44" fontId="10" fillId="2" borderId="1" xfId="1" applyFill="1" applyBorder="1"/>
    <xf numFmtId="44" fontId="4" fillId="2" borderId="1" xfId="1" applyFont="1" applyFill="1" applyBorder="1"/>
    <xf numFmtId="44" fontId="4" fillId="0" borderId="1" xfId="1" applyFont="1" applyFill="1" applyBorder="1"/>
    <xf numFmtId="44" fontId="10" fillId="0" borderId="1" xfId="1" applyFill="1" applyBorder="1"/>
    <xf numFmtId="17" fontId="25" fillId="2" borderId="1" xfId="0" applyNumberFormat="1" applyFont="1" applyFill="1" applyBorder="1"/>
    <xf numFmtId="17" fontId="25" fillId="0" borderId="1" xfId="0" applyNumberFormat="1" applyFont="1" applyFill="1" applyBorder="1" applyAlignment="1">
      <alignment horizontal="left"/>
    </xf>
    <xf numFmtId="10" fontId="6" fillId="0" borderId="1" xfId="1" applyNumberFormat="1" applyFont="1" applyFill="1" applyBorder="1"/>
    <xf numFmtId="44" fontId="25" fillId="0" borderId="1" xfId="1" applyFont="1" applyFill="1" applyBorder="1"/>
    <xf numFmtId="10" fontId="6" fillId="5" borderId="1" xfId="1" applyNumberFormat="1" applyFont="1" applyFill="1" applyBorder="1"/>
    <xf numFmtId="44" fontId="10" fillId="5" borderId="9" xfId="1" applyFill="1" applyBorder="1"/>
    <xf numFmtId="2" fontId="6" fillId="5" borderId="1" xfId="1" applyNumberFormat="1" applyFont="1" applyFill="1" applyBorder="1"/>
    <xf numFmtId="44" fontId="25" fillId="5" borderId="1" xfId="1" applyFont="1" applyFill="1" applyBorder="1"/>
    <xf numFmtId="166" fontId="25" fillId="5" borderId="1" xfId="0" applyNumberFormat="1" applyFont="1" applyFill="1" applyBorder="1"/>
    <xf numFmtId="44" fontId="25" fillId="5" borderId="13" xfId="1" applyFont="1" applyFill="1" applyBorder="1"/>
    <xf numFmtId="17" fontId="0" fillId="2" borderId="0" xfId="0" applyNumberFormat="1" applyFill="1"/>
    <xf numFmtId="44" fontId="0" fillId="2" borderId="0" xfId="0" applyNumberFormat="1" applyFill="1"/>
    <xf numFmtId="0" fontId="0" fillId="4" borderId="19" xfId="0" applyFill="1" applyBorder="1"/>
    <xf numFmtId="0" fontId="0" fillId="4" borderId="0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0" borderId="0" xfId="0" applyAlignment="1" applyProtection="1">
      <alignment horizontal="center" vertical="center"/>
      <protection locked="0"/>
    </xf>
    <xf numFmtId="44" fontId="25" fillId="0" borderId="1" xfId="1" applyFont="1" applyFill="1" applyBorder="1" applyProtection="1">
      <protection locked="0"/>
    </xf>
    <xf numFmtId="0" fontId="7" fillId="14" borderId="0" xfId="0" applyFont="1" applyFill="1"/>
    <xf numFmtId="0" fontId="35" fillId="0" borderId="0" xfId="0" applyFont="1"/>
    <xf numFmtId="44" fontId="4" fillId="14" borderId="0" xfId="1" applyFont="1" applyFill="1"/>
    <xf numFmtId="44" fontId="0" fillId="14" borderId="0" xfId="1" applyFont="1" applyFill="1"/>
    <xf numFmtId="44" fontId="7" fillId="14" borderId="0" xfId="1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8" fillId="8" borderId="0" xfId="0" applyFont="1" applyFill="1" applyAlignment="1">
      <alignment horizontal="left" vertical="center"/>
    </xf>
    <xf numFmtId="0" fontId="24" fillId="8" borderId="0" xfId="3" applyFont="1" applyFill="1" applyAlignment="1">
      <alignment horizontal="center"/>
    </xf>
    <xf numFmtId="0" fontId="0" fillId="8" borderId="0" xfId="0" applyFill="1"/>
    <xf numFmtId="0" fontId="21" fillId="0" borderId="0" xfId="3"/>
    <xf numFmtId="167" fontId="32" fillId="6" borderId="0" xfId="4" applyNumberFormat="1" applyFont="1" applyFill="1" applyAlignment="1">
      <alignment horizontal="center"/>
    </xf>
    <xf numFmtId="164" fontId="32" fillId="6" borderId="0" xfId="0" applyNumberFormat="1" applyFont="1" applyFill="1" applyAlignment="1">
      <alignment horizontal="center"/>
    </xf>
    <xf numFmtId="164" fontId="0" fillId="0" borderId="1" xfId="0" applyNumberFormat="1" applyBorder="1"/>
    <xf numFmtId="10" fontId="0" fillId="0" borderId="1" xfId="2" applyNumberFormat="1" applyFont="1" applyBorder="1"/>
    <xf numFmtId="164" fontId="0" fillId="0" borderId="1" xfId="2" applyNumberFormat="1" applyFont="1" applyBorder="1"/>
    <xf numFmtId="164" fontId="0" fillId="8" borderId="0" xfId="0" applyNumberFormat="1" applyFill="1"/>
    <xf numFmtId="0" fontId="22" fillId="16" borderId="24" xfId="0" applyFont="1" applyFill="1" applyBorder="1"/>
    <xf numFmtId="164" fontId="30" fillId="16" borderId="24" xfId="1" applyNumberFormat="1" applyFont="1" applyFill="1" applyBorder="1"/>
    <xf numFmtId="0" fontId="23" fillId="16" borderId="24" xfId="0" applyFont="1" applyFill="1" applyBorder="1"/>
    <xf numFmtId="164" fontId="23" fillId="16" borderId="24" xfId="1" applyNumberFormat="1" applyFont="1" applyFill="1" applyBorder="1"/>
    <xf numFmtId="164" fontId="4" fillId="8" borderId="0" xfId="1" applyNumberFormat="1" applyFont="1" applyFill="1"/>
    <xf numFmtId="164" fontId="4" fillId="5" borderId="0" xfId="1" applyNumberFormat="1" applyFont="1" applyFill="1"/>
    <xf numFmtId="0" fontId="4" fillId="5" borderId="0" xfId="0" applyFont="1" applyFill="1"/>
    <xf numFmtId="0" fontId="37" fillId="7" borderId="1" xfId="0" applyFont="1" applyFill="1" applyBorder="1"/>
    <xf numFmtId="0" fontId="37" fillId="0" borderId="1" xfId="0" applyFont="1" applyBorder="1"/>
    <xf numFmtId="0" fontId="37" fillId="0" borderId="1" xfId="0" applyFont="1" applyFill="1" applyBorder="1"/>
    <xf numFmtId="0" fontId="38" fillId="0" borderId="0" xfId="0" applyFont="1"/>
    <xf numFmtId="164" fontId="33" fillId="6" borderId="0" xfId="0" applyNumberFormat="1" applyFont="1" applyFill="1"/>
    <xf numFmtId="164" fontId="38" fillId="0" borderId="0" xfId="0" applyNumberFormat="1" applyFont="1"/>
    <xf numFmtId="164" fontId="38" fillId="8" borderId="0" xfId="0" applyNumberFormat="1" applyFont="1" applyFill="1"/>
    <xf numFmtId="164" fontId="33" fillId="16" borderId="24" xfId="0" applyNumberFormat="1" applyFont="1" applyFill="1" applyBorder="1"/>
    <xf numFmtId="164" fontId="38" fillId="5" borderId="0" xfId="0" applyNumberFormat="1" applyFont="1" applyFill="1"/>
    <xf numFmtId="164" fontId="38" fillId="15" borderId="0" xfId="0" applyNumberFormat="1" applyFont="1" applyFill="1"/>
    <xf numFmtId="165" fontId="38" fillId="0" borderId="1" xfId="2" applyNumberFormat="1" applyFont="1" applyBorder="1"/>
    <xf numFmtId="10" fontId="38" fillId="0" borderId="0" xfId="2" applyNumberFormat="1" applyFont="1"/>
    <xf numFmtId="0" fontId="21" fillId="4" borderId="0" xfId="3" applyFill="1" applyAlignment="1">
      <alignment horizontal="center"/>
    </xf>
    <xf numFmtId="0" fontId="18" fillId="10" borderId="0" xfId="0" applyFont="1" applyFill="1" applyAlignment="1">
      <alignment horizontal="center" vertical="center"/>
    </xf>
    <xf numFmtId="0" fontId="19" fillId="13" borderId="0" xfId="0" applyFont="1" applyFill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4" fillId="7" borderId="0" xfId="3" applyFont="1" applyFill="1" applyAlignment="1">
      <alignment horizontal="center"/>
    </xf>
    <xf numFmtId="0" fontId="2" fillId="12" borderId="4" xfId="0" applyFont="1" applyFill="1" applyBorder="1" applyAlignment="1">
      <alignment horizontal="left"/>
    </xf>
    <xf numFmtId="0" fontId="28" fillId="7" borderId="0" xfId="0" applyFont="1" applyFill="1" applyAlignment="1">
      <alignment horizontal="left" vertical="center"/>
    </xf>
    <xf numFmtId="0" fontId="16" fillId="9" borderId="5" xfId="0" applyFont="1" applyFill="1" applyBorder="1" applyAlignment="1">
      <alignment horizontal="center" wrapText="1"/>
    </xf>
    <xf numFmtId="0" fontId="16" fillId="7" borderId="0" xfId="0" applyFont="1" applyFill="1" applyAlignment="1">
      <alignment horizontal="center"/>
    </xf>
    <xf numFmtId="0" fontId="31" fillId="4" borderId="0" xfId="3" applyFont="1" applyFill="1" applyAlignment="1">
      <alignment horizontal="center"/>
    </xf>
    <xf numFmtId="0" fontId="25" fillId="17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0" fontId="21" fillId="2" borderId="0" xfId="3" applyFill="1" applyBorder="1" applyAlignment="1">
      <alignment horizontal="center" vertical="center"/>
    </xf>
    <xf numFmtId="0" fontId="40" fillId="16" borderId="0" xfId="0" applyFont="1" applyFill="1" applyAlignment="1">
      <alignment horizontal="center" wrapText="1"/>
    </xf>
    <xf numFmtId="0" fontId="40" fillId="16" borderId="0" xfId="0" applyFont="1" applyFill="1" applyAlignment="1">
      <alignment horizontal="center"/>
    </xf>
    <xf numFmtId="0" fontId="41" fillId="0" borderId="0" xfId="0" applyFont="1"/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42" fillId="0" borderId="0" xfId="0" applyFont="1"/>
    <xf numFmtId="164" fontId="43" fillId="0" borderId="0" xfId="1" applyNumberFormat="1" applyFont="1"/>
    <xf numFmtId="0" fontId="43" fillId="0" borderId="0" xfId="0" applyFont="1"/>
    <xf numFmtId="0" fontId="42" fillId="0" borderId="0" xfId="0" applyFont="1" applyAlignment="1">
      <alignment horizontal="center"/>
    </xf>
    <xf numFmtId="164" fontId="42" fillId="0" borderId="0" xfId="1" applyNumberFormat="1" applyFont="1"/>
    <xf numFmtId="0" fontId="37" fillId="0" borderId="0" xfId="0" applyFont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/>
    <xf numFmtId="164" fontId="42" fillId="19" borderId="1" xfId="1" applyNumberFormat="1" applyFont="1" applyFill="1" applyBorder="1" applyAlignment="1"/>
    <xf numFmtId="164" fontId="42" fillId="0" borderId="1" xfId="1" applyNumberFormat="1" applyFont="1" applyBorder="1"/>
    <xf numFmtId="164" fontId="42" fillId="0" borderId="1" xfId="1" applyNumberFormat="1" applyFont="1" applyBorder="1" applyAlignment="1"/>
    <xf numFmtId="164" fontId="42" fillId="18" borderId="1" xfId="0" applyNumberFormat="1" applyFont="1" applyFill="1" applyBorder="1"/>
    <xf numFmtId="164" fontId="43" fillId="0" borderId="1" xfId="1" applyNumberFormat="1" applyFont="1" applyBorder="1"/>
    <xf numFmtId="0" fontId="39" fillId="6" borderId="0" xfId="0" applyFont="1" applyFill="1"/>
    <xf numFmtId="164" fontId="39" fillId="6" borderId="4" xfId="0" applyNumberFormat="1" applyFont="1" applyFill="1" applyBorder="1"/>
    <xf numFmtId="44" fontId="39" fillId="6" borderId="0" xfId="1" applyFont="1" applyFill="1" applyAlignment="1">
      <alignment horizontal="center"/>
    </xf>
    <xf numFmtId="164" fontId="39" fillId="6" borderId="0" xfId="0" applyNumberFormat="1" applyFont="1" applyFill="1"/>
    <xf numFmtId="164" fontId="44" fillId="6" borderId="0" xfId="1" applyNumberFormat="1" applyFont="1" applyFill="1"/>
    <xf numFmtId="0" fontId="39" fillId="14" borderId="0" xfId="0" applyFont="1" applyFill="1"/>
    <xf numFmtId="44" fontId="39" fillId="14" borderId="0" xfId="1" applyFont="1" applyFill="1" applyAlignment="1">
      <alignment horizontal="center"/>
    </xf>
    <xf numFmtId="44" fontId="39" fillId="6" borderId="0" xfId="0" applyNumberFormat="1" applyFont="1" applyFill="1" applyAlignment="1">
      <alignment horizontal="center"/>
    </xf>
    <xf numFmtId="164" fontId="40" fillId="16" borderId="1" xfId="0" applyNumberFormat="1" applyFont="1" applyFill="1" applyBorder="1"/>
    <xf numFmtId="44" fontId="40" fillId="16" borderId="0" xfId="0" applyNumberFormat="1" applyFont="1" applyFill="1" applyAlignment="1">
      <alignment horizontal="center"/>
    </xf>
    <xf numFmtId="164" fontId="40" fillId="16" borderId="0" xfId="0" applyNumberFormat="1" applyFont="1" applyFill="1"/>
    <xf numFmtId="164" fontId="45" fillId="16" borderId="0" xfId="1" applyNumberFormat="1" applyFont="1" applyFill="1"/>
    <xf numFmtId="164" fontId="46" fillId="0" borderId="0" xfId="1" applyNumberFormat="1" applyFont="1"/>
    <xf numFmtId="164" fontId="42" fillId="0" borderId="0" xfId="0" applyNumberFormat="1" applyFont="1"/>
    <xf numFmtId="9" fontId="46" fillId="0" borderId="0" xfId="2" applyFont="1"/>
    <xf numFmtId="164" fontId="42" fillId="0" borderId="0" xfId="1" applyNumberFormat="1" applyFont="1" applyAlignment="1">
      <alignment horizontal="center"/>
    </xf>
    <xf numFmtId="168" fontId="42" fillId="0" borderId="0" xfId="2" applyNumberFormat="1" applyFont="1"/>
    <xf numFmtId="0" fontId="43" fillId="0" borderId="0" xfId="0" applyFont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2" fillId="0" borderId="0" xfId="0" applyFont="1" applyFill="1"/>
    <xf numFmtId="164" fontId="42" fillId="20" borderId="1" xfId="1" applyNumberFormat="1" applyFont="1" applyFill="1" applyBorder="1"/>
    <xf numFmtId="164" fontId="43" fillId="0" borderId="1" xfId="0" applyNumberFormat="1" applyFont="1" applyBorder="1"/>
    <xf numFmtId="0" fontId="39" fillId="0" borderId="0" xfId="0" applyFont="1" applyFill="1"/>
    <xf numFmtId="164" fontId="42" fillId="20" borderId="1" xfId="1" applyNumberFormat="1" applyFont="1" applyFill="1" applyBorder="1" applyAlignment="1"/>
    <xf numFmtId="0" fontId="40" fillId="0" borderId="0" xfId="0" applyFont="1" applyFill="1"/>
    <xf numFmtId="168" fontId="42" fillId="0" borderId="0" xfId="2" applyNumberFormat="1" applyFont="1" applyFill="1"/>
    <xf numFmtId="164" fontId="43" fillId="0" borderId="0" xfId="1" applyNumberFormat="1" applyFont="1" applyBorder="1"/>
    <xf numFmtId="0" fontId="43" fillId="0" borderId="0" xfId="0" applyFont="1" applyBorder="1"/>
    <xf numFmtId="164" fontId="44" fillId="6" borderId="1" xfId="1" applyNumberFormat="1" applyFont="1" applyFill="1" applyBorder="1"/>
    <xf numFmtId="164" fontId="44" fillId="6" borderId="1" xfId="0" applyNumberFormat="1" applyFont="1" applyFill="1" applyBorder="1"/>
    <xf numFmtId="164" fontId="44" fillId="16" borderId="1" xfId="1" applyNumberFormat="1" applyFont="1" applyFill="1" applyBorder="1"/>
    <xf numFmtId="164" fontId="47" fillId="0" borderId="1" xfId="1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 vertical="center" wrapText="1"/>
    </xf>
    <xf numFmtId="164" fontId="42" fillId="20" borderId="1" xfId="1" applyNumberFormat="1" applyFont="1" applyFill="1" applyBorder="1" applyAlignment="1">
      <alignment horizontal="center" vertical="center" wrapText="1"/>
    </xf>
    <xf numFmtId="0" fontId="42" fillId="19" borderId="1" xfId="0" applyFont="1" applyFill="1" applyBorder="1" applyAlignment="1">
      <alignment horizontal="center" vertical="center" wrapText="1"/>
    </xf>
    <xf numFmtId="0" fontId="42" fillId="18" borderId="1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/>
    </xf>
    <xf numFmtId="0" fontId="40" fillId="6" borderId="0" xfId="0" applyFont="1" applyFill="1"/>
    <xf numFmtId="0" fontId="40" fillId="6" borderId="0" xfId="0" applyFont="1" applyFill="1" applyAlignment="1">
      <alignment horizontal="center" vertical="center"/>
    </xf>
    <xf numFmtId="164" fontId="40" fillId="6" borderId="0" xfId="1" applyNumberFormat="1" applyFont="1" applyFill="1"/>
    <xf numFmtId="0" fontId="40" fillId="6" borderId="0" xfId="0" applyFont="1" applyFill="1" applyAlignment="1">
      <alignment horizontal="center"/>
    </xf>
    <xf numFmtId="168" fontId="42" fillId="0" borderId="1" xfId="2" applyNumberFormat="1" applyFont="1" applyBorder="1"/>
    <xf numFmtId="0" fontId="42" fillId="7" borderId="1" xfId="0" applyFont="1" applyFill="1" applyBorder="1"/>
    <xf numFmtId="168" fontId="42" fillId="7" borderId="1" xfId="2" applyNumberFormat="1" applyFont="1" applyFill="1" applyBorder="1"/>
    <xf numFmtId="164" fontId="42" fillId="7" borderId="1" xfId="1" applyNumberFormat="1" applyFont="1" applyFill="1" applyBorder="1"/>
    <xf numFmtId="168" fontId="41" fillId="0" borderId="1" xfId="0" applyNumberFormat="1" applyFont="1" applyBorder="1"/>
    <xf numFmtId="0" fontId="4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4" borderId="24" xfId="0" applyFont="1" applyFill="1" applyBorder="1" applyAlignment="1">
      <alignment vertical="center"/>
    </xf>
    <xf numFmtId="164" fontId="25" fillId="4" borderId="24" xfId="1" applyNumberFormat="1" applyFont="1" applyFill="1" applyBorder="1" applyAlignment="1">
      <alignment vertical="center"/>
    </xf>
    <xf numFmtId="164" fontId="3" fillId="4" borderId="24" xfId="0" applyNumberFormat="1" applyFont="1" applyFill="1" applyBorder="1" applyAlignment="1">
      <alignment vertical="center"/>
    </xf>
    <xf numFmtId="0" fontId="25" fillId="4" borderId="6" xfId="0" applyFont="1" applyFill="1" applyBorder="1"/>
    <xf numFmtId="164" fontId="25" fillId="4" borderId="24" xfId="1" applyNumberFormat="1" applyFont="1" applyFill="1" applyBorder="1"/>
    <xf numFmtId="164" fontId="49" fillId="4" borderId="8" xfId="1" applyNumberFormat="1" applyFont="1" applyFill="1" applyBorder="1" applyAlignment="1">
      <alignment horizontal="center" vertical="center"/>
    </xf>
    <xf numFmtId="164" fontId="49" fillId="4" borderId="7" xfId="1" applyNumberFormat="1" applyFont="1" applyFill="1" applyBorder="1" applyAlignment="1">
      <alignment horizontal="center" vertical="center"/>
    </xf>
    <xf numFmtId="164" fontId="49" fillId="4" borderId="24" xfId="1" applyNumberFormat="1" applyFont="1" applyFill="1" applyBorder="1" applyAlignment="1">
      <alignment horizontal="center" vertical="center"/>
    </xf>
    <xf numFmtId="0" fontId="0" fillId="9" borderId="1" xfId="0" applyFill="1" applyBorder="1"/>
    <xf numFmtId="10" fontId="0" fillId="9" borderId="1" xfId="2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0" fontId="50" fillId="9" borderId="1" xfId="0" applyFont="1" applyFill="1" applyBorder="1"/>
    <xf numFmtId="164" fontId="50" fillId="9" borderId="1" xfId="1" applyNumberFormat="1" applyFont="1" applyFill="1" applyBorder="1"/>
    <xf numFmtId="0" fontId="21" fillId="4" borderId="0" xfId="3" applyFill="1" applyBorder="1" applyAlignment="1">
      <alignment horizontal="center"/>
    </xf>
    <xf numFmtId="0" fontId="12" fillId="5" borderId="2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165" fontId="0" fillId="7" borderId="24" xfId="2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165" fontId="0" fillId="4" borderId="24" xfId="2" applyNumberFormat="1" applyFont="1" applyFill="1" applyBorder="1" applyAlignment="1">
      <alignment horizontal="center" vertical="center"/>
    </xf>
    <xf numFmtId="165" fontId="17" fillId="4" borderId="24" xfId="2" applyNumberFormat="1" applyFont="1" applyFill="1" applyBorder="1" applyAlignment="1">
      <alignment horizontal="center" vertical="center"/>
    </xf>
    <xf numFmtId="0" fontId="52" fillId="4" borderId="24" xfId="0" applyFont="1" applyFill="1" applyBorder="1" applyAlignment="1">
      <alignment horizontal="center" vertical="center"/>
    </xf>
    <xf numFmtId="164" fontId="47" fillId="4" borderId="24" xfId="1" applyNumberFormat="1" applyFont="1" applyFill="1" applyBorder="1"/>
    <xf numFmtId="0" fontId="51" fillId="7" borderId="24" xfId="0" applyFont="1" applyFill="1" applyBorder="1" applyAlignment="1">
      <alignment horizontal="center" vertical="center" wrapText="1"/>
    </xf>
    <xf numFmtId="165" fontId="51" fillId="7" borderId="24" xfId="2" applyNumberFormat="1" applyFont="1" applyFill="1" applyBorder="1" applyAlignment="1">
      <alignment horizontal="center" vertical="center"/>
    </xf>
    <xf numFmtId="44" fontId="21" fillId="7" borderId="0" xfId="3" applyNumberFormat="1" applyFill="1" applyAlignment="1" applyProtection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PRINCIPALES INDICADORES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INDICE!$A$18</c:f>
              <c:strCache>
                <c:ptCount val="1"/>
                <c:pt idx="0">
                  <c:v>B. y serv no pers / Erogaciones corrientes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INDICE!$B$15:$H$15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 Periodo ENERO  /   JUNIO</c:v>
                </c:pt>
              </c:strCache>
            </c:strRef>
          </c:cat>
          <c:val>
            <c:numRef>
              <c:f>INDICE!$B$18:$H$18</c:f>
              <c:numCache>
                <c:formatCode>0.0%</c:formatCode>
                <c:ptCount val="7"/>
                <c:pt idx="0">
                  <c:v>0.40328927563805378</c:v>
                </c:pt>
                <c:pt idx="1">
                  <c:v>0.41642275234906884</c:v>
                </c:pt>
                <c:pt idx="2">
                  <c:v>0.40500896070198805</c:v>
                </c:pt>
                <c:pt idx="3">
                  <c:v>0.4241441148506897</c:v>
                </c:pt>
                <c:pt idx="4">
                  <c:v>0.44248212454060848</c:v>
                </c:pt>
                <c:pt idx="5">
                  <c:v>0.43063913758726974</c:v>
                </c:pt>
                <c:pt idx="6">
                  <c:v>0.36661057071724973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INDICE!$A$20</c:f>
              <c:strCache>
                <c:ptCount val="1"/>
                <c:pt idx="0">
                  <c:v>Resuiltado final / Total de recursos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INDICE!$B$15:$H$15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 Periodo ENERO  /   JUNIO</c:v>
                </c:pt>
              </c:strCache>
            </c:strRef>
          </c:cat>
          <c:val>
            <c:numRef>
              <c:f>INDICE!$B$20:$H$20</c:f>
              <c:numCache>
                <c:formatCode>0.0%</c:formatCode>
                <c:ptCount val="7"/>
                <c:pt idx="0">
                  <c:v>5.5858181555130865E-2</c:v>
                </c:pt>
                <c:pt idx="1">
                  <c:v>-7.5455217975629263E-2</c:v>
                </c:pt>
                <c:pt idx="2">
                  <c:v>2.086036047592852E-2</c:v>
                </c:pt>
                <c:pt idx="3">
                  <c:v>3.7574226835075494E-3</c:v>
                </c:pt>
                <c:pt idx="4">
                  <c:v>1.214151920652839E-2</c:v>
                </c:pt>
                <c:pt idx="5">
                  <c:v>-5.1698636980709922E-2</c:v>
                </c:pt>
                <c:pt idx="6">
                  <c:v>0.25711931876766986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INDICE!$A$21</c:f>
              <c:strCache>
                <c:ptCount val="1"/>
                <c:pt idx="0">
                  <c:v>Gastos operación/total recursos</c:v>
                </c:pt>
              </c:strCache>
            </c:strRef>
          </c:tx>
          <c:spPr>
            <a:ln w="22225" cap="rnd">
              <a:solidFill>
                <a:schemeClr val="accent6"/>
              </a:solidFill>
            </a:ln>
            <a:effectLst>
              <a:glow rad="139700">
                <a:schemeClr val="accent6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INDICE!$B$15:$H$15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  Periodo ENERO  /   JUNIO</c:v>
                </c:pt>
              </c:strCache>
            </c:strRef>
          </c:cat>
          <c:val>
            <c:numRef>
              <c:f>INDICE!$B$21:$H$21</c:f>
              <c:numCache>
                <c:formatCode>0.0%</c:formatCode>
                <c:ptCount val="7"/>
                <c:pt idx="0">
                  <c:v>0.82347673860129578</c:v>
                </c:pt>
                <c:pt idx="1">
                  <c:v>0.85625670977279356</c:v>
                </c:pt>
                <c:pt idx="2">
                  <c:v>0.83707145872407884</c:v>
                </c:pt>
                <c:pt idx="3">
                  <c:v>0.87679914320217966</c:v>
                </c:pt>
                <c:pt idx="4">
                  <c:v>0.86532540210190889</c:v>
                </c:pt>
                <c:pt idx="5">
                  <c:v>0.90344917497355026</c:v>
                </c:pt>
                <c:pt idx="6">
                  <c:v>0.6755899772333952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7436176"/>
        <c:axId val="1840917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INDICE!$A$15</c15:sqref>
                        </c15:formulaRef>
                      </c:ext>
                    </c:extLst>
                    <c:strCache>
                      <c:ptCount val="1"/>
                      <c:pt idx="0">
                        <c:v>Algunos indicadores.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</a:ln>
                  <a:effectLst>
                    <a:glow rad="139700">
                      <a:schemeClr val="accent1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1"/>
                      <c:pt idx="0">
                        <c:v>COMPARATIVA DE BIENES Y SERVICIOS NO PERSONALES POR CUENTA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INDICE!$B$15:$H$15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INDICE!$A$16</c15:sqref>
                        </c15:formulaRef>
                      </c:ext>
                    </c:extLst>
                    <c:strCache>
                      <c:ptCount val="1"/>
                      <c:pt idx="0">
                        <c:v>Ingresos propios/recurso corriente</c:v>
                      </c:pt>
                    </c:strCache>
                  </c:strRef>
                </c:tx>
                <c:spPr>
                  <a:ln w="22225" cap="rnd">
                    <a:solidFill>
                      <a:schemeClr val="accent2"/>
                    </a:solidFill>
                  </a:ln>
                  <a:effectLst>
                    <a:glow rad="139700">
                      <a:schemeClr val="accent2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1"/>
                      <c:pt idx="0">
                        <c:v>COMPARATIVA DE BIENES Y SERVICIOS NO PERSONALES POR CUENTA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INDICE!$B$16:$H$16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0.55616500819605963</c:v>
                      </c:pt>
                      <c:pt idx="1">
                        <c:v>0.52814362707499152</c:v>
                      </c:pt>
                      <c:pt idx="2">
                        <c:v>0.49999999999999989</c:v>
                      </c:pt>
                      <c:pt idx="3">
                        <c:v>0.51209785624193616</c:v>
                      </c:pt>
                      <c:pt idx="4">
                        <c:v>0.5157125820187316</c:v>
                      </c:pt>
                      <c:pt idx="5">
                        <c:v>0.50773115329268859</c:v>
                      </c:pt>
                      <c:pt idx="6">
                        <c:v>0.46213802757762301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INDICE!$A$18</c15:sqref>
                        </c15:formulaRef>
                      </c:ext>
                    </c:extLst>
                    <c:strCache>
                      <c:ptCount val="1"/>
                      <c:pt idx="0">
                        <c:v>B. y serv no pers / Erogaciones corrientes</c:v>
                      </c:pt>
                    </c:strCache>
                  </c:strRef>
                </c:tx>
                <c:spPr>
                  <a:ln w="22225" cap="rnd">
                    <a:solidFill>
                      <a:schemeClr val="accent4"/>
                    </a:solidFill>
                  </a:ln>
                  <a:effectLst>
                    <a:glow rad="139700">
                      <a:schemeClr val="accent4">
                        <a:satMod val="175000"/>
                        <a:alpha val="14000"/>
                      </a:schemeClr>
                    </a:glow>
                  </a:effectLst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7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50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INDICE!$B$14:$H$14</c15:sqref>
                        </c15:formulaRef>
                      </c:ext>
                    </c:extLst>
                    <c:strCache>
                      <c:ptCount val="1"/>
                      <c:pt idx="0">
                        <c:v>COMPARATIVA DE BIENES Y SERVICIOS NO PERSONALES POR CUENTA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INDICE!$B$18:$H$18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0.40328927563805378</c:v>
                      </c:pt>
                      <c:pt idx="1">
                        <c:v>0.41642275234906884</c:v>
                      </c:pt>
                      <c:pt idx="2">
                        <c:v>0.40500896070198805</c:v>
                      </c:pt>
                      <c:pt idx="3">
                        <c:v>0.4241441148506897</c:v>
                      </c:pt>
                      <c:pt idx="4">
                        <c:v>0.44248212454060848</c:v>
                      </c:pt>
                      <c:pt idx="5">
                        <c:v>0.43063913758726974</c:v>
                      </c:pt>
                      <c:pt idx="6">
                        <c:v>0.36661057071724973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17436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4091776"/>
        <c:crosses val="autoZero"/>
        <c:auto val="1"/>
        <c:lblAlgn val="ctr"/>
        <c:lblOffset val="100"/>
        <c:noMultiLvlLbl val="0"/>
      </c:catAx>
      <c:valAx>
        <c:axId val="184091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743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AR"/>
              <a:t>	Tasas Municipales</a:t>
            </a:r>
          </a:p>
        </c:rich>
      </c:tx>
      <c:layout>
        <c:manualLayout>
          <c:xMode val="edge"/>
          <c:yMode val="edge"/>
          <c:x val="0.137578272325193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PRINC.TASAS!$B$44</c:f>
              <c:strCache>
                <c:ptCount val="1"/>
                <c:pt idx="0">
                  <c:v>Total tasas 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PRINC.TASAS!$B$45:$B$49</c:f>
              <c:numCache>
                <c:formatCode>_("$"* #,##0.00_);_("$"* \(#,##0.00\);_("$"* "-"??_);_(@_)</c:formatCode>
                <c:ptCount val="5"/>
                <c:pt idx="0">
                  <c:v>5694410.6100000003</c:v>
                </c:pt>
                <c:pt idx="1">
                  <c:v>6731302.3000000007</c:v>
                </c:pt>
                <c:pt idx="2">
                  <c:v>6712080.5899999999</c:v>
                </c:pt>
                <c:pt idx="3">
                  <c:v>7376063.79</c:v>
                </c:pt>
                <c:pt idx="4">
                  <c:v>5175205.32</c:v>
                </c:pt>
              </c:numCache>
            </c:numRef>
          </c:val>
        </c:ser>
        <c:ser>
          <c:idx val="1"/>
          <c:order val="1"/>
          <c:tx>
            <c:strRef>
              <c:f>PRINC.TASAS!$C$44</c:f>
              <c:strCache>
                <c:ptCount val="1"/>
                <c:pt idx="0">
                  <c:v>Total tasas 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PRINC.TASAS!$C$45:$C$49</c:f>
              <c:numCache>
                <c:formatCode>_("$"* #,##0.00_);_("$"* \(#,##0.00\);_("$"* "-"??_);_(@_)</c:formatCode>
                <c:ptCount val="5"/>
                <c:pt idx="0">
                  <c:v>8821928.4100000001</c:v>
                </c:pt>
                <c:pt idx="1">
                  <c:v>7286677.4199999999</c:v>
                </c:pt>
                <c:pt idx="2">
                  <c:v>7504163.29</c:v>
                </c:pt>
                <c:pt idx="3">
                  <c:v>8374707.6099999994</c:v>
                </c:pt>
                <c:pt idx="4">
                  <c:v>7277079.8599999994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092952"/>
        <c:axId val="184093344"/>
      </c:barChart>
      <c:catAx>
        <c:axId val="18409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4093344"/>
        <c:crosses val="autoZero"/>
        <c:auto val="1"/>
        <c:lblAlgn val="ctr"/>
        <c:lblOffset val="100"/>
        <c:noMultiLvlLbl val="0"/>
      </c:catAx>
      <c:valAx>
        <c:axId val="18409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4092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4.2943198979108511E-2"/>
          <c:y val="5.7296594577399398E-2"/>
          <c:w val="0.93865623484962468"/>
          <c:h val="0.77039554753579775"/>
        </c:manualLayout>
      </c:layout>
      <c:lineChart>
        <c:grouping val="standard"/>
        <c:varyColors val="0"/>
        <c:ser>
          <c:idx val="3"/>
          <c:order val="0"/>
          <c:tx>
            <c:strRef>
              <c:f>[2]Hoja1!$B$51</c:f>
              <c:strCache>
                <c:ptCount val="1"/>
                <c:pt idx="0">
                  <c:v>Reparaciones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[2]Hoja1!$C$51:$K$51</c15:sqref>
                  </c15:fullRef>
                </c:ext>
              </c:extLst>
              <c:f>[2]Hoja1!$E$51:$K$51</c:f>
              <c:numCache>
                <c:formatCode>General</c:formatCode>
                <c:ptCount val="7"/>
                <c:pt idx="0">
                  <c:v>1.386261643092382E-2</c:v>
                </c:pt>
                <c:pt idx="1">
                  <c:v>3.029256665859421E-2</c:v>
                </c:pt>
                <c:pt idx="2">
                  <c:v>2.087904875442716E-2</c:v>
                </c:pt>
                <c:pt idx="3">
                  <c:v>1.8488143809146367E-2</c:v>
                </c:pt>
                <c:pt idx="4">
                  <c:v>1.2464300536280932E-2</c:v>
                </c:pt>
                <c:pt idx="5">
                  <c:v>1.2472267818515001E-2</c:v>
                </c:pt>
                <c:pt idx="6">
                  <c:v>1.7808717193186305E-2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[2]Hoja1!$B$54</c:f>
              <c:strCache>
                <c:ptCount val="1"/>
                <c:pt idx="0">
                  <c:v>Electricidad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[2]Hoja1!$C$54:$K$54</c15:sqref>
                  </c15:fullRef>
                </c:ext>
              </c:extLst>
              <c:f>[2]Hoja1!$E$54:$K$54</c:f>
              <c:numCache>
                <c:formatCode>General</c:formatCode>
                <c:ptCount val="7"/>
                <c:pt idx="0">
                  <c:v>0.10582519884434761</c:v>
                </c:pt>
                <c:pt idx="1">
                  <c:v>0.11630381170552453</c:v>
                </c:pt>
                <c:pt idx="2">
                  <c:v>0.14650101682283409</c:v>
                </c:pt>
                <c:pt idx="3">
                  <c:v>0.1724227589382461</c:v>
                </c:pt>
                <c:pt idx="4">
                  <c:v>0.13262326334292768</c:v>
                </c:pt>
                <c:pt idx="5">
                  <c:v>0.159616739070501</c:v>
                </c:pt>
                <c:pt idx="6">
                  <c:v>0.14192910226684877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[2]Hoja1!$B$60</c:f>
              <c:strCache>
                <c:ptCount val="1"/>
                <c:pt idx="0">
                  <c:v>Contratos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[2]Hoja1!$C$60:$K$60</c15:sqref>
                  </c15:fullRef>
                </c:ext>
              </c:extLst>
              <c:f>[2]Hoja1!$E$60:$K$60</c:f>
              <c:numCache>
                <c:formatCode>General</c:formatCode>
                <c:ptCount val="7"/>
                <c:pt idx="0">
                  <c:v>0.40712349184231517</c:v>
                </c:pt>
                <c:pt idx="1">
                  <c:v>0.36494800604545835</c:v>
                </c:pt>
                <c:pt idx="2">
                  <c:v>0.29242092117320906</c:v>
                </c:pt>
                <c:pt idx="3">
                  <c:v>0.31488735170557203</c:v>
                </c:pt>
                <c:pt idx="4">
                  <c:v>0.28948278298580177</c:v>
                </c:pt>
                <c:pt idx="5">
                  <c:v>0.31465442483382888</c:v>
                </c:pt>
                <c:pt idx="6">
                  <c:v>0.32275625894244442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[2]Hoja1!$B$63</c:f>
              <c:strCache>
                <c:ptCount val="1"/>
                <c:pt idx="0">
                  <c:v>Transporte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[2]Hoja1!$C$63:$K$63</c15:sqref>
                  </c15:fullRef>
                </c:ext>
              </c:extLst>
              <c:f>[2]Hoja1!$E$63:$K$63</c:f>
              <c:numCache>
                <c:formatCode>General</c:formatCode>
                <c:ptCount val="7"/>
                <c:pt idx="0">
                  <c:v>1.5691022401923833E-2</c:v>
                </c:pt>
                <c:pt idx="1">
                  <c:v>9.5728125865423268E-3</c:v>
                </c:pt>
                <c:pt idx="2">
                  <c:v>8.465510933428648E-2</c:v>
                </c:pt>
                <c:pt idx="3">
                  <c:v>7.1105728024149273E-2</c:v>
                </c:pt>
                <c:pt idx="4">
                  <c:v>0.11592138828672179</c:v>
                </c:pt>
                <c:pt idx="5">
                  <c:v>9.7471547581634371E-2</c:v>
                </c:pt>
                <c:pt idx="6">
                  <c:v>7.2740402482424443E-2</c:v>
                </c:pt>
              </c:numCache>
            </c:numRef>
          </c:val>
          <c:smooth val="0"/>
        </c:ser>
        <c:ser>
          <c:idx val="19"/>
          <c:order val="6"/>
          <c:tx>
            <c:strRef>
              <c:f>[2]Hoja1!$B$67</c:f>
              <c:strCache>
                <c:ptCount val="1"/>
                <c:pt idx="0">
                  <c:v>BIENES DE CONSUMO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[2]Hoja1!$C$67:$K$67</c15:sqref>
                  </c15:fullRef>
                </c:ext>
              </c:extLst>
              <c:f>[2]Hoja1!$E$67:$K$67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21"/>
          <c:order val="7"/>
          <c:tx>
            <c:strRef>
              <c:f>[2]Hoja1!$B$69</c:f>
              <c:strCache>
                <c:ptCount val="1"/>
                <c:pt idx="0">
                  <c:v>Gas Oil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[2]Hoja1!$C$69:$K$69</c15:sqref>
                  </c15:fullRef>
                </c:ext>
              </c:extLst>
              <c:f>[2]Hoja1!$E$69:$K$69</c:f>
              <c:numCache>
                <c:formatCode>General</c:formatCode>
                <c:ptCount val="7"/>
                <c:pt idx="0">
                  <c:v>8.5819748281589489E-2</c:v>
                </c:pt>
                <c:pt idx="1">
                  <c:v>5.8114923190002825E-2</c:v>
                </c:pt>
                <c:pt idx="2">
                  <c:v>6.6650872751578299E-2</c:v>
                </c:pt>
                <c:pt idx="3">
                  <c:v>4.7416909140117307E-2</c:v>
                </c:pt>
                <c:pt idx="4">
                  <c:v>5.4401290738443374E-2</c:v>
                </c:pt>
                <c:pt idx="5">
                  <c:v>5.4918176957226499E-2</c:v>
                </c:pt>
                <c:pt idx="6">
                  <c:v>5.9232344095200076E-2</c:v>
                </c:pt>
              </c:numCache>
            </c:numRef>
          </c:val>
          <c:smooth val="0"/>
        </c:ser>
        <c:ser>
          <c:idx val="24"/>
          <c:order val="8"/>
          <c:tx>
            <c:strRef>
              <c:f>[2]Hoja1!$B$72</c:f>
              <c:strCache>
                <c:ptCount val="1"/>
                <c:pt idx="0">
                  <c:v>Repuestos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[2]Hoja1!$C$72:$K$72</c15:sqref>
                  </c15:fullRef>
                </c:ext>
              </c:extLst>
              <c:f>[2]Hoja1!$E$72:$K$72</c:f>
              <c:numCache>
                <c:formatCode>General</c:formatCode>
                <c:ptCount val="7"/>
                <c:pt idx="0">
                  <c:v>1.8119378414052582E-2</c:v>
                </c:pt>
                <c:pt idx="1">
                  <c:v>1.7982650785944347E-2</c:v>
                </c:pt>
                <c:pt idx="2">
                  <c:v>4.5254526436319081E-2</c:v>
                </c:pt>
                <c:pt idx="3">
                  <c:v>4.2847030478839115E-2</c:v>
                </c:pt>
                <c:pt idx="4">
                  <c:v>5.7014270848403027E-2</c:v>
                </c:pt>
                <c:pt idx="5">
                  <c:v>2.8676296460827914E-2</c:v>
                </c:pt>
                <c:pt idx="6">
                  <c:v>3.7232036290781811E-2</c:v>
                </c:pt>
              </c:numCache>
            </c:numRef>
          </c:val>
          <c:smooth val="0"/>
        </c:ser>
        <c:ser>
          <c:idx val="27"/>
          <c:order val="9"/>
          <c:tx>
            <c:strRef>
              <c:f>[2]Hoja1!$B$75</c:f>
              <c:strCache>
                <c:ptCount val="1"/>
                <c:pt idx="0">
                  <c:v>Materiales No invent.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[2]Hoja1!$C$75:$K$75</c15:sqref>
                  </c15:fullRef>
                </c:ext>
              </c:extLst>
              <c:f>[2]Hoja1!$E$75:$K$75</c:f>
              <c:numCache>
                <c:formatCode>General</c:formatCode>
                <c:ptCount val="7"/>
                <c:pt idx="0">
                  <c:v>0.1171006000332135</c:v>
                </c:pt>
                <c:pt idx="1">
                  <c:v>0.12620608864020061</c:v>
                </c:pt>
                <c:pt idx="2">
                  <c:v>0.11067952465495724</c:v>
                </c:pt>
                <c:pt idx="3">
                  <c:v>0.10224203535667079</c:v>
                </c:pt>
                <c:pt idx="4">
                  <c:v>0.11646557295370087</c:v>
                </c:pt>
                <c:pt idx="5">
                  <c:v>7.6252955764903055E-2</c:v>
                </c:pt>
                <c:pt idx="6">
                  <c:v>0.10688423259886673</c:v>
                </c:pt>
              </c:numCache>
            </c:numRef>
          </c:val>
          <c:smooth val="0"/>
        </c:ser>
        <c:ser>
          <c:idx val="34"/>
          <c:order val="10"/>
          <c:tx>
            <c:strRef>
              <c:f>[2]Hoja1!$B$82</c:f>
              <c:strCache>
                <c:ptCount val="1"/>
                <c:pt idx="0">
                  <c:v>Ins. Alumbrado publico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[2]Hoja1!$C$47:$K$47</c15:sqref>
                  </c15:fullRef>
                </c:ext>
              </c:extLst>
              <c:f>[2]Hoja1!$E$47:$K$47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[2]Hoja1!$C$82:$K$82</c15:sqref>
                  </c15:fullRef>
                </c:ext>
              </c:extLst>
              <c:f>[2]Hoja1!$E$82:$K$82</c:f>
              <c:numCache>
                <c:formatCode>General</c:formatCode>
                <c:ptCount val="7"/>
                <c:pt idx="0">
                  <c:v>5.7149400036096809E-2</c:v>
                </c:pt>
                <c:pt idx="1">
                  <c:v>2.3896207529322519E-2</c:v>
                </c:pt>
                <c:pt idx="2">
                  <c:v>1.8863423359200416E-3</c:v>
                </c:pt>
                <c:pt idx="3">
                  <c:v>9.0487786439660684E-5</c:v>
                </c:pt>
                <c:pt idx="4">
                  <c:v>0</c:v>
                </c:pt>
                <c:pt idx="5">
                  <c:v>0</c:v>
                </c:pt>
                <c:pt idx="6">
                  <c:v>9.8685641645620235E-3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71328"/>
        <c:axId val="275872112"/>
        <c:extLst>
          <c:ext xmlns:c15="http://schemas.microsoft.com/office/drawing/2012/chart" uri="{02D57815-91ED-43cb-92C2-25804820EDAC}">
            <c15:filteredLineSeries>
              <c15:ser>
                <c:idx val="17"/>
                <c:order val="4"/>
                <c:tx>
                  <c:strRef>
                    <c:extLst>
                      <c:ext uri="{02D57815-91ED-43cb-92C2-25804820EDAC}">
                        <c15:formulaRef>
                          <c15:sqref>[2]Hoja1!$B$65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[2]Hoja1!$C$47:$K$47</c15:sqref>
                        </c15:fullRef>
                        <c15:formulaRef>
                          <c15:sqref>[2]Hoja1!$E$47:$K$47</c15:sqref>
                        </c15:formulaRef>
                      </c:ext>
                    </c:extLst>
                    <c:strCache>
                      <c:ptCount val="7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SEMESTRE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[2]Hoja1!$C$65:$K$65</c15:sqref>
                        </c15:fullRef>
                        <c15:formulaRef>
                          <c15:sqref>[2]Hoja1!$E$65:$K$65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0.58925573757675076</c:v>
                      </c:pt>
                      <c:pt idx="1">
                        <c:v>0.66956425346584525</c:v>
                      </c:pt>
                      <c:pt idx="2">
                        <c:v>0.65101790570371398</c:v>
                      </c:pt>
                      <c:pt idx="3">
                        <c:v>0.69290130678763118</c:v>
                      </c:pt>
                      <c:pt idx="4">
                        <c:v>0.66552723492746713</c:v>
                      </c:pt>
                      <c:pt idx="5">
                        <c:v>0.74160625529940505</c:v>
                      </c:pt>
                      <c:pt idx="6">
                        <c:v>0.67483226001626673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[2]Hoja1!$B$66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[2]Hoja1!$C$47:$K$47</c15:sqref>
                        </c15:fullRef>
                        <c15:formulaRef>
                          <c15:sqref>[2]Hoja1!$E$47:$K$47</c15:sqref>
                        </c15:formulaRef>
                      </c:ext>
                    </c:extLst>
                    <c:strCache>
                      <c:ptCount val="7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SEMESTRE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[2]Hoja1!$C$66:$K$66</c15:sqref>
                        </c15:fullRef>
                        <c15:formulaRef>
                          <c15:sqref>[2]Hoja1!$E$66:$K$66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7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[2]Hoja1!$B$85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[2]Hoja1!$C$47:$K$47</c15:sqref>
                        </c15:fullRef>
                        <c15:formulaRef>
                          <c15:sqref>[2]Hoja1!$E$47:$K$47</c15:sqref>
                        </c15:formulaRef>
                      </c:ext>
                    </c:extLst>
                    <c:strCache>
                      <c:ptCount val="7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</c:v>
                      </c:pt>
                      <c:pt idx="5">
                        <c:v>JUNIO</c:v>
                      </c:pt>
                      <c:pt idx="6">
                        <c:v>SEMESTRE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[2]Hoja1!$C$85:$K$85</c15:sqref>
                        </c15:fullRef>
                        <c15:formulaRef>
                          <c15:sqref>[2]Hoja1!$E$85:$K$85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0.41074426242324924</c:v>
                      </c:pt>
                      <c:pt idx="1">
                        <c:v>0.33043574653415481</c:v>
                      </c:pt>
                      <c:pt idx="2">
                        <c:v>0.34898209429628602</c:v>
                      </c:pt>
                      <c:pt idx="3">
                        <c:v>0.30709869321236877</c:v>
                      </c:pt>
                      <c:pt idx="4">
                        <c:v>0.33447276507253282</c:v>
                      </c:pt>
                      <c:pt idx="5">
                        <c:v>0.25839374470059501</c:v>
                      </c:pt>
                      <c:pt idx="6">
                        <c:v>0.32516773998373333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758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75872112"/>
        <c:crosses val="autoZero"/>
        <c:auto val="1"/>
        <c:lblAlgn val="ctr"/>
        <c:lblOffset val="100"/>
        <c:noMultiLvlLbl val="0"/>
      </c:catAx>
      <c:valAx>
        <c:axId val="27587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758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1908877632334175"/>
          <c:y val="0.92073058586238399"/>
          <c:w val="0.82570952516285778"/>
          <c:h val="7.9212365322221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AR"/>
              <a:t>	Tasas Municipales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PRINC.TASAS!$B$44</c:f>
              <c:strCache>
                <c:ptCount val="1"/>
                <c:pt idx="0">
                  <c:v>Total tasas 2015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PRINC.TASAS!$B$45:$B$49</c:f>
              <c:numCache>
                <c:formatCode>_("$"* #,##0.00_);_("$"* \(#,##0.00\);_("$"* "-"??_);_(@_)</c:formatCode>
                <c:ptCount val="5"/>
                <c:pt idx="0">
                  <c:v>5694410.6100000003</c:v>
                </c:pt>
                <c:pt idx="1">
                  <c:v>6731302.3000000007</c:v>
                </c:pt>
                <c:pt idx="2">
                  <c:v>6712080.5899999999</c:v>
                </c:pt>
                <c:pt idx="3">
                  <c:v>7376063.79</c:v>
                </c:pt>
                <c:pt idx="4">
                  <c:v>5175205.32</c:v>
                </c:pt>
              </c:numCache>
            </c:numRef>
          </c:val>
        </c:ser>
        <c:ser>
          <c:idx val="1"/>
          <c:order val="1"/>
          <c:tx>
            <c:strRef>
              <c:f>PRINC.TASAS!$C$44</c:f>
              <c:strCache>
                <c:ptCount val="1"/>
                <c:pt idx="0">
                  <c:v>Total tasas 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PRINC.TASAS!$A$45:$A$49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PRINC.TASAS!$C$45:$C$49</c:f>
              <c:numCache>
                <c:formatCode>_("$"* #,##0.00_);_("$"* \(#,##0.00\);_("$"* "-"??_);_(@_)</c:formatCode>
                <c:ptCount val="5"/>
                <c:pt idx="0">
                  <c:v>8821928.4100000001</c:v>
                </c:pt>
                <c:pt idx="1">
                  <c:v>7286677.4199999999</c:v>
                </c:pt>
                <c:pt idx="2">
                  <c:v>7504163.29</c:v>
                </c:pt>
                <c:pt idx="3">
                  <c:v>8374707.6099999994</c:v>
                </c:pt>
                <c:pt idx="4">
                  <c:v>7277079.8599999994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094520"/>
        <c:axId val="184094912"/>
      </c:barChart>
      <c:catAx>
        <c:axId val="18409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4094912"/>
        <c:crosses val="autoZero"/>
        <c:auto val="1"/>
        <c:lblAlgn val="ctr"/>
        <c:lblOffset val="100"/>
        <c:noMultiLvlLbl val="0"/>
      </c:catAx>
      <c:valAx>
        <c:axId val="1840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84094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3866495528188"/>
          <c:y val="5.0411151689148781E-2"/>
          <c:w val="0.72673583513659556"/>
          <c:h val="0.92062541780132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COMPRATIVAMENSUAL!$A$21</c:f>
              <c:strCache>
                <c:ptCount val="1"/>
                <c:pt idx="0">
                  <c:v>Total de Recursos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COMPRATIVAMENSUAL!$B$21:$G$21</c:f>
              <c:numCache>
                <c:formatCode>_ "$"\ * #,##0_ ;_ "$"\ * \-#,##0_ ;_ "$"\ * "-"??_ ;_ @_ </c:formatCode>
                <c:ptCount val="6"/>
                <c:pt idx="0">
                  <c:v>23744081.470000003</c:v>
                </c:pt>
                <c:pt idx="1">
                  <c:v>18785567.229999997</c:v>
                </c:pt>
                <c:pt idx="2">
                  <c:v>19061741.100000001</c:v>
                </c:pt>
                <c:pt idx="3">
                  <c:v>25744004.940000001</c:v>
                </c:pt>
                <c:pt idx="4">
                  <c:v>21269840.149999999</c:v>
                </c:pt>
                <c:pt idx="5">
                  <c:v>24085912.020000003</c:v>
                </c:pt>
              </c:numCache>
            </c:numRef>
          </c:val>
        </c:ser>
        <c:ser>
          <c:idx val="1"/>
          <c:order val="1"/>
          <c:tx>
            <c:strRef>
              <c:f>COMPRATIVAMENSUAL!$A$22</c:f>
              <c:strCache>
                <c:ptCount val="1"/>
                <c:pt idx="0">
                  <c:v>Total de Erogaciones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COMPRATIVAMENSUAL!$B$22:$G$22</c:f>
              <c:numCache>
                <c:formatCode>_ "$"\ * #,##0_ ;_ "$"\ * \-#,##0_ ;_ "$"\ * "-"??_ ;_ @_ </c:formatCode>
                <c:ptCount val="6"/>
                <c:pt idx="0">
                  <c:v>10348024.18</c:v>
                </c:pt>
                <c:pt idx="1">
                  <c:v>13215392.609999999</c:v>
                </c:pt>
                <c:pt idx="2">
                  <c:v>15968228.510000002</c:v>
                </c:pt>
                <c:pt idx="3">
                  <c:v>17726160.969999999</c:v>
                </c:pt>
                <c:pt idx="4">
                  <c:v>16657054.319999998</c:v>
                </c:pt>
                <c:pt idx="5">
                  <c:v>25455113.050000004</c:v>
                </c:pt>
              </c:numCache>
            </c:numRef>
          </c:val>
        </c:ser>
        <c:ser>
          <c:idx val="2"/>
          <c:order val="2"/>
          <c:tx>
            <c:strRef>
              <c:f>COMPRATIVAMENSUAL!$A$23</c:f>
              <c:strCache>
                <c:ptCount val="1"/>
                <c:pt idx="0">
                  <c:v>Resultado Financero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COMPRATIVAMENSUAL!$B$23:$G$23</c:f>
              <c:numCache>
                <c:formatCode>_ "$"\ * #,##0_ ;_ "$"\ * \-#,##0_ ;_ "$"\ * "-"??_ ;_ @_ </c:formatCode>
                <c:ptCount val="6"/>
                <c:pt idx="0">
                  <c:v>13396057.290000003</c:v>
                </c:pt>
                <c:pt idx="1">
                  <c:v>5570174.6199999973</c:v>
                </c:pt>
                <c:pt idx="2">
                  <c:v>3093512.59</c:v>
                </c:pt>
                <c:pt idx="3">
                  <c:v>8017843.9700000025</c:v>
                </c:pt>
                <c:pt idx="4">
                  <c:v>4612785.83</c:v>
                </c:pt>
                <c:pt idx="5">
                  <c:v>-1369201.0300000012</c:v>
                </c:pt>
              </c:numCache>
            </c:numRef>
          </c:val>
        </c:ser>
        <c:ser>
          <c:idx val="3"/>
          <c:order val="3"/>
          <c:tx>
            <c:strRef>
              <c:f>COMPRATIVAMENSUAL!$A$31</c:f>
              <c:strCache>
                <c:ptCount val="1"/>
                <c:pt idx="0">
                  <c:v>RESULTADO FINAL 2016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COMPRATIVAMENSUAL!$B$31:$G$31</c:f>
              <c:numCache>
                <c:formatCode>_ "$"\ * #,##0_ ;_ "$"\ * \-#,##0_ ;_ "$"\ * "-"??_ ;_ @_ </c:formatCode>
                <c:ptCount val="6"/>
                <c:pt idx="0">
                  <c:v>13319521.670000004</c:v>
                </c:pt>
                <c:pt idx="1">
                  <c:v>5492679.759999997</c:v>
                </c:pt>
                <c:pt idx="2">
                  <c:v>3011685.8</c:v>
                </c:pt>
                <c:pt idx="3">
                  <c:v>7935316.0500000026</c:v>
                </c:pt>
                <c:pt idx="4">
                  <c:v>4528490.1399999997</c:v>
                </c:pt>
                <c:pt idx="5">
                  <c:v>-1455342.4400000011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24184"/>
        <c:axId val="228124576"/>
      </c:barChart>
      <c:catAx>
        <c:axId val="22812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8124576"/>
        <c:crosses val="autoZero"/>
        <c:auto val="1"/>
        <c:lblAlgn val="ctr"/>
        <c:lblOffset val="100"/>
        <c:noMultiLvlLbl val="0"/>
      </c:catAx>
      <c:valAx>
        <c:axId val="228124576"/>
        <c:scaling>
          <c:orientation val="minMax"/>
        </c:scaling>
        <c:delete val="0"/>
        <c:axPos val="l"/>
        <c:majorGridlines/>
        <c:numFmt formatCode="_ &quot;$&quot;\ * #,##0_ ;_ &quot;$&quot;\ * \-#,##0_ ;_ &quot;$&quot;\ * &quot;-&quot;??_ ;_ @_ " sourceLinked="1"/>
        <c:majorTickMark val="out"/>
        <c:minorTickMark val="none"/>
        <c:tickLblPos val="nextTo"/>
        <c:crossAx val="228124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COMPRATIVAMENSUAL!$A$5</c:f>
              <c:strCache>
                <c:ptCount val="1"/>
                <c:pt idx="0">
                  <c:v>Tasas Municipales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COMPRATIVAMENSUAL!$B$5:$G$5</c:f>
              <c:numCache>
                <c:formatCode>_ "$"\ * #,##0_ ;_ "$"\ * \-#,##0_ ;_ "$"\ * "-"??_ ;_ @_ </c:formatCode>
                <c:ptCount val="6"/>
                <c:pt idx="0">
                  <c:v>8921307.3000000007</c:v>
                </c:pt>
                <c:pt idx="1">
                  <c:v>7665040.5599999996</c:v>
                </c:pt>
                <c:pt idx="2">
                  <c:v>8618451.4299999997</c:v>
                </c:pt>
                <c:pt idx="3">
                  <c:v>9789508.1499999985</c:v>
                </c:pt>
                <c:pt idx="4">
                  <c:v>8906861.8399999999</c:v>
                </c:pt>
                <c:pt idx="5">
                  <c:v>10183062.030000001</c:v>
                </c:pt>
              </c:numCache>
            </c:numRef>
          </c:val>
        </c:ser>
        <c:ser>
          <c:idx val="3"/>
          <c:order val="1"/>
          <c:tx>
            <c:strRef>
              <c:f>COMPRATIVAMENSUAL!$A$6</c:f>
              <c:strCache>
                <c:ptCount val="1"/>
                <c:pt idx="0">
                  <c:v>Otros ingresos Jurisdiccion Municipal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COMPRATIVAMENSUAL!$B$6:$G$6</c:f>
              <c:numCache>
                <c:formatCode>_ "$"\ * #,##0_ ;_ "$"\ * \-#,##0_ ;_ "$"\ * "-"??_ ;_ @_ </c:formatCode>
                <c:ptCount val="6"/>
                <c:pt idx="0">
                  <c:v>1382946.24</c:v>
                </c:pt>
                <c:pt idx="1">
                  <c:v>1295366</c:v>
                </c:pt>
                <c:pt idx="2">
                  <c:v>973262.21000000008</c:v>
                </c:pt>
                <c:pt idx="3">
                  <c:v>931548.79999999993</c:v>
                </c:pt>
                <c:pt idx="4">
                  <c:v>1383313.4300000002</c:v>
                </c:pt>
                <c:pt idx="5">
                  <c:v>1270956.9200000002</c:v>
                </c:pt>
              </c:numCache>
            </c:numRef>
          </c:val>
        </c:ser>
        <c:ser>
          <c:idx val="5"/>
          <c:order val="2"/>
          <c:tx>
            <c:strRef>
              <c:f>COMPRATIVAMENSUAL!$A$8</c:f>
              <c:strCache>
                <c:ptCount val="1"/>
                <c:pt idx="0">
                  <c:v>De jurisdiccion provincial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COMPRATIVAMENSUAL!$B$8:$G$8</c:f>
              <c:numCache>
                <c:formatCode>_ "$"\ * #,##0_ ;_ "$"\ * \-#,##0_ ;_ "$"\ * "-"??_ ;_ @_ </c:formatCode>
                <c:ptCount val="6"/>
                <c:pt idx="0">
                  <c:v>3389972.07</c:v>
                </c:pt>
                <c:pt idx="1">
                  <c:v>2659664.5499999998</c:v>
                </c:pt>
                <c:pt idx="2">
                  <c:v>5771063.2000000002</c:v>
                </c:pt>
                <c:pt idx="3">
                  <c:v>4521884.79</c:v>
                </c:pt>
                <c:pt idx="4">
                  <c:v>3854233.49</c:v>
                </c:pt>
                <c:pt idx="5">
                  <c:v>4253455.7799999993</c:v>
                </c:pt>
              </c:numCache>
            </c:numRef>
          </c:val>
        </c:ser>
        <c:ser>
          <c:idx val="6"/>
          <c:order val="3"/>
          <c:tx>
            <c:strRef>
              <c:f>COMPRATIVAMENSUAL!$A$9</c:f>
              <c:strCache>
                <c:ptCount val="1"/>
                <c:pt idx="0">
                  <c:v>De jurisdiccion Nacional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COMPRATIVAMENSUAL!$B$9:$G$9</c:f>
              <c:numCache>
                <c:formatCode>_ "$"\ * #,##0_ ;_ "$"\ * \-#,##0_ ;_ "$"\ * "-"??_ ;_ @_ </c:formatCode>
                <c:ptCount val="6"/>
                <c:pt idx="0">
                  <c:v>10049855.860000001</c:v>
                </c:pt>
                <c:pt idx="1">
                  <c:v>7165496.1200000001</c:v>
                </c:pt>
                <c:pt idx="2">
                  <c:v>3698964.26</c:v>
                </c:pt>
                <c:pt idx="3">
                  <c:v>10501063.200000001</c:v>
                </c:pt>
                <c:pt idx="4">
                  <c:v>7125431.3900000006</c:v>
                </c:pt>
                <c:pt idx="5">
                  <c:v>8378437.29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26928"/>
        <c:axId val="228127320"/>
      </c:barChart>
      <c:catAx>
        <c:axId val="228126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8127320"/>
        <c:crosses val="autoZero"/>
        <c:auto val="1"/>
        <c:lblAlgn val="ctr"/>
        <c:lblOffset val="100"/>
        <c:noMultiLvlLbl val="0"/>
      </c:catAx>
      <c:valAx>
        <c:axId val="22812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$&quot;\ * #,##0_ ;_ &quot;$&quot;\ * \-#,##0_ ;_ &quot;$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8126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COMPRATIVAMENSUAL!$A$11</c:f>
              <c:strCache>
                <c:ptCount val="1"/>
                <c:pt idx="0">
                  <c:v>Personal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COMPRATIVAMENSUAL!$B$11:$G$11</c:f>
              <c:numCache>
                <c:formatCode>_ "$"\ * #,##0_ ;_ "$"\ * \-#,##0_ ;_ "$"\ * "-"??_ ;_ @_ </c:formatCode>
                <c:ptCount val="6"/>
                <c:pt idx="0">
                  <c:v>8164768.0900000008</c:v>
                </c:pt>
                <c:pt idx="1">
                  <c:v>8550906.6199999992</c:v>
                </c:pt>
                <c:pt idx="2">
                  <c:v>8887585.9400000013</c:v>
                </c:pt>
                <c:pt idx="3">
                  <c:v>8826747.0600000005</c:v>
                </c:pt>
                <c:pt idx="4">
                  <c:v>8917169.8100000005</c:v>
                </c:pt>
                <c:pt idx="5">
                  <c:v>11679895.920000002</c:v>
                </c:pt>
              </c:numCache>
            </c:numRef>
          </c:val>
        </c:ser>
        <c:ser>
          <c:idx val="9"/>
          <c:order val="1"/>
          <c:tx>
            <c:strRef>
              <c:f>COMPRATIVAMENSUAL!$A$12</c:f>
              <c:strCache>
                <c:ptCount val="1"/>
                <c:pt idx="0">
                  <c:v>Bienes y Servicios No personales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COMPRATIVAMENSUAL!$B$12:$G$12</c:f>
              <c:numCache>
                <c:formatCode>_ "$"\ * #,##0_ ;_ "$"\ * \-#,##0_ ;_ "$"\ * "-"??_ ;_ @_ </c:formatCode>
                <c:ptCount val="6"/>
                <c:pt idx="0">
                  <c:v>1987983.05</c:v>
                </c:pt>
                <c:pt idx="1">
                  <c:v>4448985.5299999993</c:v>
                </c:pt>
                <c:pt idx="2">
                  <c:v>5790575.4900000002</c:v>
                </c:pt>
                <c:pt idx="3">
                  <c:v>6674571.4199999999</c:v>
                </c:pt>
                <c:pt idx="4">
                  <c:v>6034248.5199999996</c:v>
                </c:pt>
                <c:pt idx="5">
                  <c:v>7928370.5499999998</c:v>
                </c:pt>
              </c:numCache>
            </c:numRef>
          </c:val>
        </c:ser>
        <c:ser>
          <c:idx val="15"/>
          <c:order val="2"/>
          <c:tx>
            <c:strRef>
              <c:f>COMPRATIVAMENSUAL!$A$18</c:f>
              <c:strCache>
                <c:ptCount val="1"/>
                <c:pt idx="0">
                  <c:v>Erogaciones de Capital</c:v>
                </c:pt>
              </c:strCache>
            </c:strRef>
          </c:tx>
          <c:invertIfNegative val="0"/>
          <c:cat>
            <c:strRef>
              <c:f>COMPRATIVAMENSUAL!$B$2:$G$2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COMPRATIVAMENSUAL!$B$18:$G$18</c:f>
              <c:numCache>
                <c:formatCode>_ "$"\ * #,##0_ ;_ "$"\ * \-#,##0_ ;_ "$"\ * "-"??_ ;_ @_ </c:formatCode>
                <c:ptCount val="6"/>
                <c:pt idx="0">
                  <c:v>87056.01</c:v>
                </c:pt>
                <c:pt idx="1">
                  <c:v>73072.38</c:v>
                </c:pt>
                <c:pt idx="2">
                  <c:v>992110</c:v>
                </c:pt>
                <c:pt idx="3">
                  <c:v>1946151.9900000002</c:v>
                </c:pt>
                <c:pt idx="4">
                  <c:v>1234063.95</c:v>
                </c:pt>
                <c:pt idx="5">
                  <c:v>5392710.3899999997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34376"/>
        <c:axId val="228834768"/>
      </c:barChart>
      <c:catAx>
        <c:axId val="228834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8834768"/>
        <c:crosses val="autoZero"/>
        <c:auto val="1"/>
        <c:lblAlgn val="ctr"/>
        <c:lblOffset val="100"/>
        <c:noMultiLvlLbl val="0"/>
      </c:catAx>
      <c:valAx>
        <c:axId val="228834768"/>
        <c:scaling>
          <c:orientation val="minMax"/>
        </c:scaling>
        <c:delete val="0"/>
        <c:axPos val="l"/>
        <c:majorGridlines/>
        <c:numFmt formatCode="_ &quot;$&quot;\ * #,##0_ ;_ &quot;$&quot;\ * \-#,##0_ ;_ &quot;$&quot;\ * &quot;-&quot;??_ ;_ @_ " sourceLinked="1"/>
        <c:majorTickMark val="out"/>
        <c:minorTickMark val="none"/>
        <c:tickLblPos val="nextTo"/>
        <c:crossAx val="2288343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COMPRATIVAMENSUAL!$A$12</c:f>
              <c:strCache>
                <c:ptCount val="1"/>
                <c:pt idx="0">
                  <c:v>Bienes y Servicios No personales</c:v>
                </c:pt>
              </c:strCache>
            </c:strRef>
          </c:tx>
          <c:invertIfNegative val="0"/>
          <c:trendline>
            <c:trendlineType val="linear"/>
            <c:dispRSqr val="0"/>
            <c:dispEq val="1"/>
            <c:trendlineLbl>
              <c:layout>
                <c:manualLayout>
                  <c:x val="-4.3100251240861786E-4"/>
                  <c:y val="-6.0726216130570859E-2"/>
                </c:manualLayout>
              </c:layout>
              <c:numFmt formatCode="General" sourceLinked="0"/>
            </c:trendlineLbl>
          </c:trendline>
          <c:val>
            <c:numRef>
              <c:f>COMPRATIVAMENSUAL!$B$12:$G$12</c:f>
              <c:numCache>
                <c:formatCode>_ "$"\ * #,##0_ ;_ "$"\ * \-#,##0_ ;_ "$"\ * "-"??_ ;_ @_ </c:formatCode>
                <c:ptCount val="6"/>
                <c:pt idx="0">
                  <c:v>1987983.05</c:v>
                </c:pt>
                <c:pt idx="1">
                  <c:v>4448985.5299999993</c:v>
                </c:pt>
                <c:pt idx="2">
                  <c:v>5790575.4900000002</c:v>
                </c:pt>
                <c:pt idx="3">
                  <c:v>6674571.4199999999</c:v>
                </c:pt>
                <c:pt idx="4">
                  <c:v>6034248.5199999996</c:v>
                </c:pt>
                <c:pt idx="5">
                  <c:v>7928370.5499999998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126536"/>
        <c:axId val="228126144"/>
      </c:barChart>
      <c:catAx>
        <c:axId val="228126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126144"/>
        <c:crosses val="autoZero"/>
        <c:auto val="1"/>
        <c:lblAlgn val="ctr"/>
        <c:lblOffset val="100"/>
        <c:noMultiLvlLbl val="0"/>
      </c:catAx>
      <c:valAx>
        <c:axId val="228126144"/>
        <c:scaling>
          <c:orientation val="minMax"/>
        </c:scaling>
        <c:delete val="0"/>
        <c:axPos val="l"/>
        <c:majorGridlines/>
        <c:numFmt formatCode="_ &quot;$&quot;\ * #,##0_ ;_ &quot;$&quot;\ * \-#,##0_ ;_ &quot;$&quot;\ * &quot;-&quot;??_ ;_ @_ " sourceLinked="1"/>
        <c:majorTickMark val="out"/>
        <c:minorTickMark val="none"/>
        <c:tickLblPos val="nextTo"/>
        <c:crossAx val="228126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	COMPARTIVA</a:t>
            </a:r>
            <a:r>
              <a:rPr lang="en-US" baseline="0"/>
              <a:t> PRIMER SEMESTRE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COMPRATIVAMENSUAL!$B$126</c:f>
              <c:strCache>
                <c:ptCount val="1"/>
                <c:pt idx="0">
                  <c:v> 2.015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COMPRATIVAMENSUAL!$A$127:$A$130</c:f>
              <c:strCache>
                <c:ptCount val="4"/>
                <c:pt idx="0">
                  <c:v>RECURSOS CORRIENTES</c:v>
                </c:pt>
                <c:pt idx="1">
                  <c:v>EROGACIONES CORRIENTES</c:v>
                </c:pt>
                <c:pt idx="2">
                  <c:v>INVERSION</c:v>
                </c:pt>
                <c:pt idx="3">
                  <c:v>RESULTADO FINANCIERO</c:v>
                </c:pt>
              </c:strCache>
            </c:strRef>
          </c:cat>
          <c:val>
            <c:numRef>
              <c:f>COMPRATIVAMENSUAL!$B$127:$B$130</c:f>
              <c:numCache>
                <c:formatCode>_ "$"\ * #,##0_ ;_ "$"\ * \-#,##0_ ;_ "$"\ * "-"??_ ;_ @_ </c:formatCode>
                <c:ptCount val="4"/>
                <c:pt idx="0">
                  <c:v>93146072.339999989</c:v>
                </c:pt>
                <c:pt idx="1">
                  <c:v>80781487.779999986</c:v>
                </c:pt>
                <c:pt idx="2">
                  <c:v>17326084.289999999</c:v>
                </c:pt>
                <c:pt idx="3">
                  <c:v>-4961499.7299999986</c:v>
                </c:pt>
              </c:numCache>
            </c:numRef>
          </c:val>
        </c:ser>
        <c:ser>
          <c:idx val="1"/>
          <c:order val="1"/>
          <c:tx>
            <c:strRef>
              <c:f>COMPRATIVAMENSUAL!$C$126</c:f>
              <c:strCache>
                <c:ptCount val="1"/>
                <c:pt idx="0">
                  <c:v> 2.016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COMPRATIVAMENSUAL!$A$127:$A$130</c:f>
              <c:strCache>
                <c:ptCount val="4"/>
                <c:pt idx="0">
                  <c:v>RECURSOS CORRIENTES</c:v>
                </c:pt>
                <c:pt idx="1">
                  <c:v>EROGACIONES CORRIENTES</c:v>
                </c:pt>
                <c:pt idx="2">
                  <c:v>INVERSION</c:v>
                </c:pt>
                <c:pt idx="3">
                  <c:v>RESULTADO FINANCIERO</c:v>
                </c:pt>
              </c:strCache>
            </c:strRef>
          </c:cat>
          <c:val>
            <c:numRef>
              <c:f>COMPRATIVAMENSUAL!$C$127:$C$130</c:f>
              <c:numCache>
                <c:formatCode>_ "$"\ * #,##0_ ;_ "$"\ * \-#,##0_ ;_ "$"\ * "-"??_ ;_ @_ </c:formatCode>
                <c:ptCount val="4"/>
                <c:pt idx="0">
                  <c:v>132691146.91000003</c:v>
                </c:pt>
                <c:pt idx="1">
                  <c:v>89644808.920000017</c:v>
                </c:pt>
                <c:pt idx="2">
                  <c:v>9725164.7199999988</c:v>
                </c:pt>
                <c:pt idx="3">
                  <c:v>33321173.270000003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28833984"/>
        <c:axId val="228835944"/>
      </c:barChart>
      <c:catAx>
        <c:axId val="22883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8835944"/>
        <c:crosses val="autoZero"/>
        <c:auto val="1"/>
        <c:lblAlgn val="ctr"/>
        <c:lblOffset val="100"/>
        <c:noMultiLvlLbl val="0"/>
      </c:catAx>
      <c:valAx>
        <c:axId val="22883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&quot;$&quot;\ * #,##0_ ;_ &quot;$&quot;\ * \-#,##0_ ;_ &quot;$&quot;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2883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0</xdr:row>
      <xdr:rowOff>1</xdr:rowOff>
    </xdr:from>
    <xdr:to>
      <xdr:col>13</xdr:col>
      <xdr:colOff>695324</xdr:colOff>
      <xdr:row>19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95249</xdr:colOff>
      <xdr:row>19</xdr:row>
      <xdr:rowOff>38100</xdr:rowOff>
    </xdr:from>
    <xdr:to>
      <xdr:col>13</xdr:col>
      <xdr:colOff>723898</xdr:colOff>
      <xdr:row>32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700896</xdr:colOff>
      <xdr:row>0</xdr:row>
      <xdr:rowOff>8986</xdr:rowOff>
    </xdr:from>
    <xdr:to>
      <xdr:col>14</xdr:col>
      <xdr:colOff>227162</xdr:colOff>
      <xdr:row>5</xdr:row>
      <xdr:rowOff>112143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3137" y="8986"/>
          <a:ext cx="2653341" cy="104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592408</xdr:colOff>
      <xdr:row>0</xdr:row>
      <xdr:rowOff>0</xdr:rowOff>
    </xdr:from>
    <xdr:to>
      <xdr:col>15</xdr:col>
      <xdr:colOff>440240</xdr:colOff>
      <xdr:row>1</xdr:row>
      <xdr:rowOff>61564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1524" y="0"/>
          <a:ext cx="2640980" cy="104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0</xdr:rowOff>
    </xdr:from>
    <xdr:to>
      <xdr:col>6</xdr:col>
      <xdr:colOff>561975</xdr:colOff>
      <xdr:row>1</xdr:row>
      <xdr:rowOff>79421</xdr:rowOff>
    </xdr:to>
    <xdr:pic>
      <xdr:nvPicPr>
        <xdr:cNvPr id="3" name="Picture 2" descr="http://sd-1130838-h00004.ferozo.net/wp-content/uploads/2016/03/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0"/>
          <a:ext cx="2343150" cy="927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87</xdr:row>
      <xdr:rowOff>71436</xdr:rowOff>
    </xdr:from>
    <xdr:to>
      <xdr:col>11</xdr:col>
      <xdr:colOff>161925</xdr:colOff>
      <xdr:row>128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71436</xdr:rowOff>
    </xdr:from>
    <xdr:to>
      <xdr:col>6</xdr:col>
      <xdr:colOff>285749</xdr:colOff>
      <xdr:row>57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38</xdr:row>
      <xdr:rowOff>66674</xdr:rowOff>
    </xdr:from>
    <xdr:to>
      <xdr:col>6</xdr:col>
      <xdr:colOff>809624</xdr:colOff>
      <xdr:row>56</xdr:row>
      <xdr:rowOff>190499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971548</xdr:colOff>
      <xdr:row>38</xdr:row>
      <xdr:rowOff>114299</xdr:rowOff>
    </xdr:from>
    <xdr:to>
      <xdr:col>17</xdr:col>
      <xdr:colOff>1262062</xdr:colOff>
      <xdr:row>57</xdr:row>
      <xdr:rowOff>47624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1023936</xdr:colOff>
      <xdr:row>58</xdr:row>
      <xdr:rowOff>35718</xdr:rowOff>
    </xdr:from>
    <xdr:to>
      <xdr:col>17</xdr:col>
      <xdr:colOff>1357312</xdr:colOff>
      <xdr:row>80</xdr:row>
      <xdr:rowOff>59531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54769</xdr:rowOff>
    </xdr:from>
    <xdr:to>
      <xdr:col>6</xdr:col>
      <xdr:colOff>673893</xdr:colOff>
      <xdr:row>81</xdr:row>
      <xdr:rowOff>11906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892969</xdr:colOff>
      <xdr:row>112</xdr:row>
      <xdr:rowOff>51196</xdr:rowOff>
    </xdr:from>
    <xdr:to>
      <xdr:col>18</xdr:col>
      <xdr:colOff>1273969</xdr:colOff>
      <xdr:row>136</xdr:row>
      <xdr:rowOff>107157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&#201;N%20DAL%20MOL&#205;N_2\AppData\Roaming\Microsoft\Excel\COMPARATIVO%20BS%20Y%20SERVICIOS%20SEMESTRAL%20(version%20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7">
          <cell r="E47" t="str">
            <v xml:space="preserve">ENERO </v>
          </cell>
          <cell r="F47" t="str">
            <v>FEBRERO</v>
          </cell>
          <cell r="G47" t="str">
            <v>MARZO</v>
          </cell>
          <cell r="H47" t="str">
            <v>ABRIL</v>
          </cell>
          <cell r="I47" t="str">
            <v>MAYO</v>
          </cell>
          <cell r="J47" t="str">
            <v>JUNIO</v>
          </cell>
          <cell r="K47" t="str">
            <v>SEMESTRE</v>
          </cell>
        </row>
        <row r="51">
          <cell r="B51" t="str">
            <v>Reparaciones</v>
          </cell>
          <cell r="E51">
            <v>1.386261643092382E-2</v>
          </cell>
          <cell r="F51">
            <v>3.029256665859421E-2</v>
          </cell>
          <cell r="G51">
            <v>2.087904875442716E-2</v>
          </cell>
          <cell r="H51">
            <v>1.8488143809146367E-2</v>
          </cell>
          <cell r="I51">
            <v>1.2464300536280932E-2</v>
          </cell>
          <cell r="J51">
            <v>1.2472267818515001E-2</v>
          </cell>
          <cell r="K51">
            <v>1.7808717193186305E-2</v>
          </cell>
        </row>
        <row r="54">
          <cell r="B54" t="str">
            <v>Electricidad</v>
          </cell>
          <cell r="E54">
            <v>0.10582519884434761</v>
          </cell>
          <cell r="F54">
            <v>0.11630381170552453</v>
          </cell>
          <cell r="G54">
            <v>0.14650101682283409</v>
          </cell>
          <cell r="H54">
            <v>0.1724227589382461</v>
          </cell>
          <cell r="I54">
            <v>0.13262326334292768</v>
          </cell>
          <cell r="J54">
            <v>0.159616739070501</v>
          </cell>
          <cell r="K54">
            <v>0.14192910226684877</v>
          </cell>
        </row>
        <row r="60">
          <cell r="B60" t="str">
            <v>Contratos</v>
          </cell>
          <cell r="E60">
            <v>0.40712349184231517</v>
          </cell>
          <cell r="F60">
            <v>0.36494800604545835</v>
          </cell>
          <cell r="G60">
            <v>0.29242092117320906</v>
          </cell>
          <cell r="H60">
            <v>0.31488735170557203</v>
          </cell>
          <cell r="I60">
            <v>0.28948278298580177</v>
          </cell>
          <cell r="J60">
            <v>0.31465442483382888</v>
          </cell>
          <cell r="K60">
            <v>0.32275625894244442</v>
          </cell>
        </row>
        <row r="63">
          <cell r="B63" t="str">
            <v>Transporte</v>
          </cell>
          <cell r="E63">
            <v>1.5691022401923833E-2</v>
          </cell>
          <cell r="F63">
            <v>9.5728125865423268E-3</v>
          </cell>
          <cell r="G63">
            <v>8.465510933428648E-2</v>
          </cell>
          <cell r="H63">
            <v>7.1105728024149273E-2</v>
          </cell>
          <cell r="I63">
            <v>0.11592138828672179</v>
          </cell>
          <cell r="J63">
            <v>9.7471547581634371E-2</v>
          </cell>
          <cell r="K63">
            <v>7.2740402482424443E-2</v>
          </cell>
        </row>
        <row r="65">
          <cell r="B65" t="str">
            <v>TOTAL</v>
          </cell>
          <cell r="E65">
            <v>0.58925573757675076</v>
          </cell>
          <cell r="F65">
            <v>0.66956425346584525</v>
          </cell>
          <cell r="G65">
            <v>0.65101790570371398</v>
          </cell>
          <cell r="H65">
            <v>0.69290130678763118</v>
          </cell>
          <cell r="I65">
            <v>0.66552723492746713</v>
          </cell>
          <cell r="J65">
            <v>0.74160625529940505</v>
          </cell>
          <cell r="K65">
            <v>0.67483226001626673</v>
          </cell>
        </row>
        <row r="67">
          <cell r="B67" t="str">
            <v>BIENES DE CONSUMO</v>
          </cell>
        </row>
        <row r="69">
          <cell r="B69" t="str">
            <v>Gas Oil</v>
          </cell>
          <cell r="E69">
            <v>8.5819748281589489E-2</v>
          </cell>
          <cell r="F69">
            <v>5.8114923190002825E-2</v>
          </cell>
          <cell r="G69">
            <v>6.6650872751578299E-2</v>
          </cell>
          <cell r="H69">
            <v>4.7416909140117307E-2</v>
          </cell>
          <cell r="I69">
            <v>5.4401290738443374E-2</v>
          </cell>
          <cell r="J69">
            <v>5.4918176957226499E-2</v>
          </cell>
          <cell r="K69">
            <v>5.9232344095200076E-2</v>
          </cell>
        </row>
        <row r="72">
          <cell r="B72" t="str">
            <v>Repuestos</v>
          </cell>
          <cell r="E72">
            <v>1.8119378414052582E-2</v>
          </cell>
          <cell r="F72">
            <v>1.7982650785944347E-2</v>
          </cell>
          <cell r="G72">
            <v>4.5254526436319081E-2</v>
          </cell>
          <cell r="H72">
            <v>4.2847030478839115E-2</v>
          </cell>
          <cell r="I72">
            <v>5.7014270848403027E-2</v>
          </cell>
          <cell r="J72">
            <v>2.8676296460827914E-2</v>
          </cell>
          <cell r="K72">
            <v>3.7232036290781811E-2</v>
          </cell>
        </row>
        <row r="75">
          <cell r="B75" t="str">
            <v>Materiales No invent.</v>
          </cell>
          <cell r="E75">
            <v>0.1171006000332135</v>
          </cell>
          <cell r="F75">
            <v>0.12620608864020061</v>
          </cell>
          <cell r="G75">
            <v>0.11067952465495724</v>
          </cell>
          <cell r="H75">
            <v>0.10224203535667079</v>
          </cell>
          <cell r="I75">
            <v>0.11646557295370087</v>
          </cell>
          <cell r="J75">
            <v>7.6252955764903055E-2</v>
          </cell>
          <cell r="K75">
            <v>0.10688423259886673</v>
          </cell>
        </row>
        <row r="82">
          <cell r="B82" t="str">
            <v>Ins. Alumbrado publico</v>
          </cell>
          <cell r="E82">
            <v>5.7149400036096809E-2</v>
          </cell>
          <cell r="F82">
            <v>2.3896207529322519E-2</v>
          </cell>
          <cell r="G82">
            <v>1.8863423359200416E-3</v>
          </cell>
          <cell r="H82">
            <v>9.0487786439660684E-5</v>
          </cell>
          <cell r="I82">
            <v>0</v>
          </cell>
          <cell r="J82">
            <v>0</v>
          </cell>
          <cell r="K82">
            <v>9.8685641645620235E-3</v>
          </cell>
        </row>
        <row r="85">
          <cell r="B85" t="str">
            <v>TOTAL</v>
          </cell>
          <cell r="E85">
            <v>0.41074426242324924</v>
          </cell>
          <cell r="F85">
            <v>0.33043574653415481</v>
          </cell>
          <cell r="G85">
            <v>0.34898209429628602</v>
          </cell>
          <cell r="H85">
            <v>0.30709869321236877</v>
          </cell>
          <cell r="I85">
            <v>0.33447276507253282</v>
          </cell>
          <cell r="J85">
            <v>0.25839374470059501</v>
          </cell>
          <cell r="K85">
            <v>0.32516773998373333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R37"/>
  <sheetViews>
    <sheetView tabSelected="1" workbookViewId="0">
      <selection sqref="A1:H2"/>
    </sheetView>
  </sheetViews>
  <sheetFormatPr defaultColWidth="11.42578125" defaultRowHeight="15" x14ac:dyDescent="0.25"/>
  <cols>
    <col min="1" max="1" width="31.42578125" customWidth="1"/>
    <col min="2" max="2" width="15.28515625" bestFit="1" customWidth="1"/>
    <col min="3" max="4" width="14.85546875" bestFit="1" customWidth="1"/>
    <col min="5" max="6" width="14.140625" bestFit="1" customWidth="1"/>
    <col min="7" max="7" width="14.85546875" bestFit="1" customWidth="1"/>
    <col min="9" max="9" width="8.5703125" customWidth="1"/>
    <col min="15" max="15" width="1" customWidth="1"/>
  </cols>
  <sheetData>
    <row r="1" spans="1:18" x14ac:dyDescent="0.25">
      <c r="A1" s="207" t="s">
        <v>144</v>
      </c>
      <c r="B1" s="207"/>
      <c r="C1" s="207"/>
      <c r="D1" s="207"/>
      <c r="E1" s="207"/>
      <c r="F1" s="207"/>
      <c r="G1" s="207"/>
      <c r="H1" s="207"/>
      <c r="I1" s="92"/>
      <c r="J1" s="92"/>
      <c r="K1" s="92"/>
      <c r="L1" s="92"/>
      <c r="M1" s="92"/>
      <c r="N1" s="92"/>
      <c r="O1" s="92"/>
    </row>
    <row r="2" spans="1:18" x14ac:dyDescent="0.25">
      <c r="A2" s="207"/>
      <c r="B2" s="207"/>
      <c r="C2" s="207"/>
      <c r="D2" s="207"/>
      <c r="E2" s="207"/>
      <c r="F2" s="207"/>
      <c r="G2" s="207"/>
      <c r="H2" s="207"/>
      <c r="I2" s="92"/>
      <c r="J2" s="92"/>
      <c r="K2" s="92"/>
      <c r="L2" s="92"/>
      <c r="M2" s="92"/>
      <c r="N2" s="92"/>
      <c r="O2" s="92"/>
    </row>
    <row r="3" spans="1:18" x14ac:dyDescent="0.25">
      <c r="A3" s="208" t="s">
        <v>145</v>
      </c>
      <c r="B3" s="208"/>
      <c r="C3" s="208"/>
      <c r="D3" s="208"/>
      <c r="E3" s="208"/>
      <c r="F3" s="208"/>
      <c r="G3" s="208"/>
      <c r="H3" s="208"/>
      <c r="I3" s="92"/>
      <c r="J3" s="92"/>
      <c r="K3" s="92"/>
      <c r="L3" s="92"/>
      <c r="M3" s="92"/>
      <c r="N3" s="92"/>
      <c r="O3" s="92"/>
    </row>
    <row r="4" spans="1:18" x14ac:dyDescent="0.25">
      <c r="A4" s="208"/>
      <c r="B4" s="208"/>
      <c r="C4" s="208"/>
      <c r="D4" s="208"/>
      <c r="E4" s="208"/>
      <c r="F4" s="208"/>
      <c r="G4" s="208"/>
      <c r="H4" s="208"/>
      <c r="I4" s="92"/>
      <c r="J4" s="92"/>
      <c r="K4" s="92"/>
      <c r="L4" s="92"/>
      <c r="M4" s="92"/>
      <c r="N4" s="92"/>
      <c r="O4" s="92"/>
    </row>
    <row r="5" spans="1:18" ht="7.5" customHeight="1" x14ac:dyDescent="0.25">
      <c r="I5" s="92"/>
      <c r="J5" s="92"/>
      <c r="K5" s="92"/>
      <c r="L5" s="92"/>
      <c r="M5" s="92"/>
      <c r="N5" s="92"/>
      <c r="O5" s="92"/>
    </row>
    <row r="6" spans="1:18" ht="23.25" x14ac:dyDescent="0.25">
      <c r="A6" s="209" t="s">
        <v>146</v>
      </c>
      <c r="B6" s="209"/>
      <c r="C6" s="209"/>
      <c r="D6" s="209"/>
      <c r="E6" s="209"/>
      <c r="F6" s="209"/>
      <c r="G6" s="209"/>
      <c r="H6" s="209"/>
      <c r="I6" s="92"/>
      <c r="J6" s="92"/>
      <c r="K6" s="92"/>
      <c r="L6" s="92"/>
      <c r="M6" s="92"/>
      <c r="N6" s="92"/>
      <c r="O6" s="92"/>
    </row>
    <row r="7" spans="1:18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8" x14ac:dyDescent="0.25">
      <c r="A8" s="92">
        <v>1</v>
      </c>
      <c r="B8" s="206" t="s">
        <v>147</v>
      </c>
      <c r="C8" s="206"/>
      <c r="D8" s="206"/>
      <c r="E8" s="206"/>
      <c r="F8" s="206"/>
      <c r="G8" s="206"/>
      <c r="H8" s="206"/>
      <c r="I8" s="92"/>
      <c r="J8" s="92"/>
      <c r="K8" s="92"/>
      <c r="L8" s="92"/>
      <c r="M8" s="92"/>
      <c r="N8" s="92"/>
      <c r="O8" s="92"/>
    </row>
    <row r="9" spans="1:18" x14ac:dyDescent="0.25">
      <c r="A9" s="92">
        <v>2</v>
      </c>
      <c r="B9" s="206" t="s">
        <v>148</v>
      </c>
      <c r="C9" s="206"/>
      <c r="D9" s="206"/>
      <c r="E9" s="206"/>
      <c r="F9" s="206"/>
      <c r="G9" s="206"/>
      <c r="H9" s="206"/>
      <c r="I9" s="92"/>
      <c r="J9" s="92"/>
      <c r="K9" s="92"/>
      <c r="L9" s="92"/>
      <c r="M9" s="92"/>
      <c r="N9" s="92"/>
      <c r="O9" s="92"/>
    </row>
    <row r="10" spans="1:18" x14ac:dyDescent="0.25">
      <c r="A10" s="92">
        <v>3</v>
      </c>
      <c r="B10" s="206" t="s">
        <v>262</v>
      </c>
      <c r="C10" s="206"/>
      <c r="D10" s="206"/>
      <c r="E10" s="206"/>
      <c r="F10" s="206"/>
      <c r="G10" s="206"/>
      <c r="H10" s="206"/>
      <c r="I10" s="92"/>
      <c r="J10" s="92"/>
      <c r="K10" s="92"/>
      <c r="L10" s="92"/>
      <c r="M10" s="92"/>
      <c r="N10" s="92"/>
      <c r="O10" s="92"/>
    </row>
    <row r="11" spans="1:18" x14ac:dyDescent="0.25">
      <c r="A11" s="92">
        <v>4</v>
      </c>
      <c r="B11" s="206" t="s">
        <v>149</v>
      </c>
      <c r="C11" s="206"/>
      <c r="D11" s="206"/>
      <c r="E11" s="206"/>
      <c r="F11" s="206"/>
      <c r="G11" s="206"/>
      <c r="H11" s="206"/>
      <c r="I11" s="92"/>
      <c r="J11" s="92"/>
      <c r="K11" s="92"/>
      <c r="L11" s="92"/>
      <c r="M11" s="92"/>
      <c r="N11" s="92"/>
      <c r="O11" s="92"/>
    </row>
    <row r="12" spans="1:18" x14ac:dyDescent="0.25">
      <c r="A12" s="92">
        <v>5</v>
      </c>
      <c r="B12" s="206" t="s">
        <v>267</v>
      </c>
      <c r="C12" s="206"/>
      <c r="D12" s="206"/>
      <c r="E12" s="206"/>
      <c r="F12" s="206"/>
      <c r="G12" s="206"/>
      <c r="H12" s="206"/>
      <c r="I12" s="92"/>
      <c r="J12" s="92"/>
      <c r="K12" s="92"/>
      <c r="L12" s="92"/>
      <c r="M12" s="92"/>
      <c r="N12" s="92"/>
      <c r="O12" s="92"/>
    </row>
    <row r="13" spans="1:18" x14ac:dyDescent="0.25">
      <c r="A13" s="92">
        <v>6</v>
      </c>
      <c r="B13" s="206" t="s">
        <v>270</v>
      </c>
      <c r="C13" s="206"/>
      <c r="D13" s="206"/>
      <c r="E13" s="206"/>
      <c r="F13" s="206"/>
      <c r="G13" s="206"/>
      <c r="H13" s="206"/>
      <c r="I13" s="92"/>
      <c r="J13" s="92"/>
      <c r="K13" s="92"/>
      <c r="L13" s="92"/>
      <c r="M13" s="92"/>
      <c r="N13" s="92"/>
      <c r="O13" s="92"/>
    </row>
    <row r="14" spans="1:18" ht="15.75" thickBot="1" x14ac:dyDescent="0.3">
      <c r="A14" s="92">
        <v>7</v>
      </c>
      <c r="B14" s="300" t="s">
        <v>239</v>
      </c>
      <c r="C14" s="300"/>
      <c r="D14" s="300"/>
      <c r="E14" s="300"/>
      <c r="F14" s="300"/>
      <c r="G14" s="300"/>
      <c r="H14" s="300"/>
      <c r="I14" s="92"/>
      <c r="J14" s="92"/>
      <c r="K14" s="92"/>
      <c r="L14" s="92"/>
      <c r="M14" s="92"/>
      <c r="N14" s="92"/>
      <c r="O14" s="92"/>
    </row>
    <row r="15" spans="1:18" ht="42" customHeight="1" thickBot="1" x14ac:dyDescent="0.3">
      <c r="A15" s="301" t="str">
        <f>COMPARATIVAANUAL!A33</f>
        <v>Algunos indicadores.</v>
      </c>
      <c r="B15" s="301">
        <v>2010</v>
      </c>
      <c r="C15" s="301">
        <v>2011</v>
      </c>
      <c r="D15" s="301">
        <v>2012</v>
      </c>
      <c r="E15" s="301">
        <v>2013</v>
      </c>
      <c r="F15" s="301">
        <v>2014</v>
      </c>
      <c r="G15" s="301">
        <v>2015</v>
      </c>
      <c r="H15" s="302" t="str">
        <f>+COMPARATIVAANUAL!H2</f>
        <v xml:space="preserve">  Periodo ENERO  /   JUNIO</v>
      </c>
      <c r="I15" s="92"/>
      <c r="J15" s="92"/>
      <c r="K15" s="92"/>
      <c r="L15" s="92"/>
      <c r="M15" s="92"/>
      <c r="N15" s="92"/>
      <c r="O15" s="92"/>
    </row>
    <row r="16" spans="1:18" s="91" customFormat="1" ht="30.75" customHeight="1" thickBot="1" x14ac:dyDescent="0.3">
      <c r="A16" s="303" t="str">
        <f>COMPARATIVAANUAL!A34</f>
        <v>Ingresos propios/recurso corriente</v>
      </c>
      <c r="B16" s="304">
        <f>COMPARATIVAANUAL!B34</f>
        <v>0.55616500819605963</v>
      </c>
      <c r="C16" s="304">
        <f>COMPARATIVAANUAL!C34</f>
        <v>0.52814362707499152</v>
      </c>
      <c r="D16" s="304">
        <f>COMPARATIVAANUAL!D34</f>
        <v>0.49999999999999989</v>
      </c>
      <c r="E16" s="304">
        <f>COMPARATIVAANUAL!E34</f>
        <v>0.51209785624193616</v>
      </c>
      <c r="F16" s="304">
        <f>COMPARATIVAANUAL!F34</f>
        <v>0.5157125820187316</v>
      </c>
      <c r="G16" s="304">
        <f>COMPARATIVAANUAL!G34</f>
        <v>0.50773115329268859</v>
      </c>
      <c r="H16" s="304">
        <f>COMPARATIVAANUAL!H34</f>
        <v>0.46213802757762301</v>
      </c>
      <c r="I16" s="93"/>
      <c r="J16" s="93"/>
      <c r="K16" s="93"/>
      <c r="L16" s="93"/>
      <c r="M16" s="93"/>
      <c r="N16" s="93"/>
      <c r="O16" s="93"/>
      <c r="R16" s="168"/>
    </row>
    <row r="17" spans="1:15" s="91" customFormat="1" ht="30.75" customHeight="1" thickBot="1" x14ac:dyDescent="0.3">
      <c r="A17" s="305" t="str">
        <f>COMPARATIVAANUAL!A35</f>
        <v>Personal / Erogaciones corrientes</v>
      </c>
      <c r="B17" s="306">
        <f>COMPARATIVAANUAL!B35</f>
        <v>0.53764036695651374</v>
      </c>
      <c r="C17" s="306">
        <f>COMPARATIVAANUAL!C35</f>
        <v>0.50932151603140907</v>
      </c>
      <c r="D17" s="306">
        <f>COMPARATIVAANUAL!D35</f>
        <v>0.54425019159967003</v>
      </c>
      <c r="E17" s="306">
        <f>COMPARATIVAANUAL!E35</f>
        <v>0.53220962758373747</v>
      </c>
      <c r="F17" s="306">
        <f>COMPARATIVAANUAL!F35</f>
        <v>0.52438935426679278</v>
      </c>
      <c r="G17" s="306">
        <f>COMPARATIVAANUAL!G35</f>
        <v>0.53170981762782699</v>
      </c>
      <c r="H17" s="306">
        <f>COMPARATIVAANUAL!H35</f>
        <v>0.6138344663002937</v>
      </c>
      <c r="I17" s="93"/>
      <c r="J17" s="93"/>
      <c r="K17" s="93"/>
      <c r="L17" s="93"/>
      <c r="M17" s="93"/>
      <c r="N17" s="93"/>
      <c r="O17" s="93"/>
    </row>
    <row r="18" spans="1:15" s="91" customFormat="1" ht="30.75" customHeight="1" thickBot="1" x14ac:dyDescent="0.3">
      <c r="A18" s="303" t="str">
        <f>COMPARATIVAANUAL!A36</f>
        <v>B. y serv no pers / Erogaciones corrientes</v>
      </c>
      <c r="B18" s="304">
        <f>COMPARATIVAANUAL!B36</f>
        <v>0.40328927563805378</v>
      </c>
      <c r="C18" s="304">
        <f>COMPARATIVAANUAL!C36</f>
        <v>0.41642275234906884</v>
      </c>
      <c r="D18" s="304">
        <f>COMPARATIVAANUAL!D36</f>
        <v>0.40500896070198805</v>
      </c>
      <c r="E18" s="304">
        <f>COMPARATIVAANUAL!E36</f>
        <v>0.4241441148506897</v>
      </c>
      <c r="F18" s="304">
        <f>COMPARATIVAANUAL!F36</f>
        <v>0.44248212454060848</v>
      </c>
      <c r="G18" s="304">
        <f>COMPARATIVAANUAL!G36</f>
        <v>0.43063913758726974</v>
      </c>
      <c r="H18" s="304">
        <f>COMPARATIVAANUAL!H36</f>
        <v>0.36661057071724973</v>
      </c>
      <c r="I18" s="93"/>
      <c r="J18" s="93"/>
      <c r="K18" s="93"/>
      <c r="L18" s="93"/>
      <c r="M18" s="93"/>
      <c r="N18" s="93"/>
      <c r="O18" s="93"/>
    </row>
    <row r="19" spans="1:15" s="91" customFormat="1" ht="30.75" customHeight="1" thickBot="1" x14ac:dyDescent="0.3">
      <c r="A19" s="305" t="str">
        <f>COMPARATIVAANUAL!A37</f>
        <v>Resultado financiero / Recursos corrientes</v>
      </c>
      <c r="B19" s="306">
        <f>COMPARATIVAANUAL!B37</f>
        <v>-1.4899964705581652E-2</v>
      </c>
      <c r="C19" s="306">
        <f>COMPARATIVAANUAL!C37</f>
        <v>-0.11591160526450725</v>
      </c>
      <c r="D19" s="306">
        <f>COMPARATIVAANUAL!D37</f>
        <v>5.5582387515986362E-2</v>
      </c>
      <c r="E19" s="306">
        <f>COMPARATIVAANUAL!E37</f>
        <v>-5.6842417791575568E-2</v>
      </c>
      <c r="F19" s="306">
        <f>COMPARATIVAANUAL!F37</f>
        <v>-4.7050329345031922E-2</v>
      </c>
      <c r="G19" s="306">
        <f>COMPARATIVAANUAL!G37</f>
        <v>-8.2032629247837024E-2</v>
      </c>
      <c r="H19" s="306">
        <f>COMPARATIVAANUAL!H37</f>
        <v>0.25111828517542806</v>
      </c>
      <c r="I19" s="93"/>
      <c r="J19" s="93"/>
      <c r="K19" s="93"/>
      <c r="L19" s="93"/>
      <c r="M19" s="93"/>
      <c r="N19" s="93"/>
      <c r="O19" s="93"/>
    </row>
    <row r="20" spans="1:15" s="91" customFormat="1" ht="30.75" customHeight="1" thickBot="1" x14ac:dyDescent="0.3">
      <c r="A20" s="303" t="str">
        <f>COMPARATIVAANUAL!A38</f>
        <v>Resuiltado final / Total de recursos</v>
      </c>
      <c r="B20" s="304">
        <f>COMPARATIVAANUAL!B38</f>
        <v>5.5858181555130865E-2</v>
      </c>
      <c r="C20" s="304">
        <f>COMPARATIVAANUAL!C38</f>
        <v>-7.5455217975629263E-2</v>
      </c>
      <c r="D20" s="304">
        <f>COMPARATIVAANUAL!D38</f>
        <v>2.086036047592852E-2</v>
      </c>
      <c r="E20" s="304">
        <f>COMPARATIVAANUAL!E38</f>
        <v>3.7574226835075494E-3</v>
      </c>
      <c r="F20" s="304">
        <f>COMPARATIVAANUAL!F38</f>
        <v>1.214151920652839E-2</v>
      </c>
      <c r="G20" s="304">
        <f>COMPARATIVAANUAL!G38</f>
        <v>-5.1698636980709922E-2</v>
      </c>
      <c r="H20" s="304">
        <f>COMPARATIVAANUAL!H38</f>
        <v>0.25711931876766986</v>
      </c>
      <c r="I20" s="93"/>
      <c r="J20" s="93"/>
      <c r="K20" s="93"/>
      <c r="L20" s="93"/>
      <c r="M20" s="93"/>
      <c r="N20" s="93"/>
      <c r="O20" s="93"/>
    </row>
    <row r="21" spans="1:15" s="91" customFormat="1" ht="30.75" customHeight="1" thickBot="1" x14ac:dyDescent="0.3">
      <c r="A21" s="305" t="str">
        <f>COMPARATIVAANUAL!A39</f>
        <v>Gastos operación/total recursos</v>
      </c>
      <c r="B21" s="306">
        <f>COMPARATIVAANUAL!B39</f>
        <v>0.82347673860129578</v>
      </c>
      <c r="C21" s="306">
        <f>COMPARATIVAANUAL!C39</f>
        <v>0.85625670977279356</v>
      </c>
      <c r="D21" s="307">
        <f>COMPARATIVAANUAL!D39</f>
        <v>0.83707145872407884</v>
      </c>
      <c r="E21" s="306">
        <f>COMPARATIVAANUAL!E39</f>
        <v>0.87679914320217966</v>
      </c>
      <c r="F21" s="306">
        <f>COMPARATIVAANUAL!F39</f>
        <v>0.86532540210190889</v>
      </c>
      <c r="G21" s="306">
        <f>COMPARATIVAANUAL!G39</f>
        <v>0.90344917497355026</v>
      </c>
      <c r="H21" s="306">
        <f>COMPARATIVAANUAL!H39</f>
        <v>0.6755899772333952</v>
      </c>
      <c r="I21" s="93"/>
      <c r="J21" s="93"/>
      <c r="K21" s="93"/>
      <c r="L21" s="93"/>
      <c r="M21" s="93"/>
      <c r="N21" s="93"/>
      <c r="O21" s="93"/>
    </row>
    <row r="22" spans="1:15" s="91" customFormat="1" ht="7.5" customHeight="1" thickBot="1" x14ac:dyDescent="0.3">
      <c r="I22" s="93"/>
      <c r="J22" s="93"/>
      <c r="K22" s="93"/>
      <c r="L22" s="93"/>
      <c r="M22" s="93"/>
      <c r="N22" s="93"/>
      <c r="O22" s="93"/>
    </row>
    <row r="23" spans="1:15" ht="35.25" customHeight="1" thickBot="1" x14ac:dyDescent="0.3">
      <c r="A23" s="310" t="s">
        <v>298</v>
      </c>
      <c r="B23" s="311" t="s">
        <v>201</v>
      </c>
      <c r="C23" s="311" t="s">
        <v>202</v>
      </c>
      <c r="D23" s="311" t="s">
        <v>203</v>
      </c>
      <c r="E23" s="311" t="s">
        <v>248</v>
      </c>
      <c r="F23" s="311" t="s">
        <v>249</v>
      </c>
      <c r="G23" s="311" t="s">
        <v>250</v>
      </c>
      <c r="H23" s="304"/>
      <c r="I23" s="92"/>
      <c r="J23" s="92"/>
      <c r="K23" s="92"/>
      <c r="L23" s="92"/>
      <c r="M23" s="92"/>
      <c r="N23" s="92"/>
      <c r="O23" s="92"/>
    </row>
    <row r="24" spans="1:15" ht="15" customHeight="1" thickBot="1" x14ac:dyDescent="0.3">
      <c r="A24" s="308" t="str">
        <f>+COMPRATIVAMENSUAL!A139</f>
        <v>RESULTADO FINAL 2016</v>
      </c>
      <c r="B24" s="309">
        <f>+COMPRATIVAMENSUAL!B139</f>
        <v>13319521.670000004</v>
      </c>
      <c r="C24" s="309">
        <f>+COMPRATIVAMENSUAL!C139</f>
        <v>5492679.759999997</v>
      </c>
      <c r="D24" s="309">
        <f>+COMPRATIVAMENSUAL!D139</f>
        <v>3011685.8</v>
      </c>
      <c r="E24" s="309">
        <f>+COMPRATIVAMENSUAL!E139</f>
        <v>7935316.0500000026</v>
      </c>
      <c r="F24" s="309">
        <f>+COMPRATIVAMENSUAL!F139</f>
        <v>4528490.1399999997</v>
      </c>
      <c r="G24" s="309">
        <f>+COMPRATIVAMENSUAL!G139</f>
        <v>-1455342.4400000011</v>
      </c>
      <c r="H24" s="92"/>
      <c r="I24" s="57"/>
      <c r="J24" s="57"/>
      <c r="K24" s="57"/>
      <c r="L24" s="57"/>
      <c r="M24" s="57"/>
      <c r="N24" s="57"/>
      <c r="O24" s="57"/>
    </row>
    <row r="25" spans="1:15" ht="15" customHeight="1" thickBot="1" x14ac:dyDescent="0.3">
      <c r="A25" s="308" t="str">
        <f>+COMPRATIVAMENSUAL!A140</f>
        <v>RESULTADO FINAL 2015</v>
      </c>
      <c r="B25" s="309">
        <f>+COMPRATIVAMENSUAL!B140</f>
        <v>5479077.3100000005</v>
      </c>
      <c r="C25" s="309">
        <f>+COMPRATIVAMENSUAL!C140</f>
        <v>-2021981.0999999978</v>
      </c>
      <c r="D25" s="309">
        <f>+COMPRATIVAMENSUAL!D140</f>
        <v>-2504261.8099999996</v>
      </c>
      <c r="E25" s="309">
        <f>+COMPRATIVAMENSUAL!E140</f>
        <v>-813202.14000000106</v>
      </c>
      <c r="F25" s="309">
        <f>+COMPRATIVAMENSUAL!F140</f>
        <v>4884480.3199999966</v>
      </c>
      <c r="G25" s="309">
        <f>+COMPRATIVAMENSUAL!G140</f>
        <v>-3718185.759999997</v>
      </c>
      <c r="H25" s="92"/>
      <c r="I25" s="163"/>
      <c r="J25" s="92"/>
      <c r="K25" s="92"/>
      <c r="L25" s="92"/>
      <c r="M25" s="92"/>
      <c r="N25" s="92"/>
      <c r="O25" s="92"/>
    </row>
    <row r="26" spans="1:15" ht="1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4"/>
      <c r="J26" s="92"/>
      <c r="K26" s="92"/>
      <c r="L26" s="92"/>
      <c r="M26" s="92"/>
      <c r="N26" s="92"/>
      <c r="O26" s="92"/>
    </row>
    <row r="27" spans="1:15" x14ac:dyDescent="0.25">
      <c r="A27" s="162" t="s">
        <v>299</v>
      </c>
      <c r="B27" s="163"/>
      <c r="C27" s="163"/>
      <c r="D27" s="163"/>
      <c r="E27" s="163"/>
      <c r="F27" s="163"/>
      <c r="G27" s="163"/>
      <c r="H27" s="163"/>
      <c r="I27" s="164"/>
      <c r="J27" s="92"/>
      <c r="K27" s="92"/>
      <c r="L27" s="92"/>
      <c r="M27" s="92"/>
      <c r="N27" s="92"/>
      <c r="O27" s="92"/>
    </row>
    <row r="28" spans="1:15" x14ac:dyDescent="0.25">
      <c r="A28" s="162" t="s">
        <v>300</v>
      </c>
      <c r="B28" s="163"/>
      <c r="C28" s="163"/>
      <c r="D28" s="163"/>
      <c r="E28" s="163"/>
      <c r="F28" s="163"/>
      <c r="G28" s="163"/>
      <c r="H28" s="163"/>
      <c r="I28" s="164"/>
      <c r="J28" s="92"/>
      <c r="K28" s="92"/>
      <c r="L28" s="92"/>
      <c r="M28" s="92"/>
      <c r="N28" s="92"/>
      <c r="O28" s="92"/>
    </row>
    <row r="29" spans="1:15" x14ac:dyDescent="0.25">
      <c r="A29" s="162" t="s">
        <v>301</v>
      </c>
      <c r="B29" s="163"/>
      <c r="C29" s="163"/>
      <c r="D29" s="163"/>
      <c r="E29" s="163"/>
      <c r="F29" s="163"/>
      <c r="G29" s="163"/>
      <c r="H29" s="163"/>
      <c r="I29" s="164"/>
      <c r="J29" s="92"/>
      <c r="K29" s="92"/>
      <c r="L29" s="92"/>
      <c r="M29" s="92"/>
      <c r="N29" s="92"/>
      <c r="O29" s="92"/>
    </row>
    <row r="30" spans="1:15" x14ac:dyDescent="0.25">
      <c r="A30" s="162"/>
      <c r="B30" s="163"/>
      <c r="C30" s="163"/>
      <c r="D30" s="163"/>
      <c r="E30" s="163"/>
      <c r="F30" s="163"/>
      <c r="G30" s="163"/>
      <c r="H30" s="163"/>
      <c r="I30" s="164"/>
      <c r="J30" s="92"/>
      <c r="K30" s="92"/>
      <c r="L30" s="92"/>
      <c r="M30" s="92"/>
      <c r="N30" s="92"/>
      <c r="O30" s="92"/>
    </row>
    <row r="31" spans="1:15" x14ac:dyDescent="0.25">
      <c r="A31" s="162"/>
      <c r="B31" s="163"/>
      <c r="C31" s="163"/>
      <c r="D31" s="163"/>
      <c r="E31" s="163"/>
      <c r="F31" s="163"/>
      <c r="G31" s="163"/>
      <c r="H31" s="163"/>
      <c r="I31" s="164"/>
      <c r="J31" s="92"/>
      <c r="K31" s="92"/>
      <c r="L31" s="92"/>
      <c r="M31" s="92"/>
      <c r="N31" s="92"/>
      <c r="O31" s="92"/>
    </row>
    <row r="32" spans="1:15" ht="15.75" thickBot="1" x14ac:dyDescent="0.3">
      <c r="A32" s="165"/>
      <c r="B32" s="166"/>
      <c r="C32" s="166"/>
      <c r="D32" s="166"/>
      <c r="E32" s="166"/>
      <c r="F32" s="166"/>
      <c r="G32" s="166"/>
      <c r="H32" s="166"/>
      <c r="I32" s="167"/>
      <c r="J32" s="92"/>
      <c r="K32" s="92"/>
      <c r="L32" s="92"/>
      <c r="M32" s="92"/>
      <c r="N32" s="92"/>
      <c r="O32" s="92"/>
    </row>
    <row r="33" spans="1:15" x14ac:dyDescent="0.25">
      <c r="A33" s="57"/>
      <c r="B33" s="57"/>
      <c r="C33" s="57"/>
      <c r="D33" s="57"/>
      <c r="E33" s="57"/>
      <c r="F33" s="57"/>
      <c r="G33" s="57"/>
      <c r="H33" s="57"/>
      <c r="I33" s="92"/>
      <c r="J33" s="92"/>
      <c r="K33" s="92"/>
      <c r="L33" s="92"/>
      <c r="M33" s="92"/>
      <c r="N33" s="92"/>
      <c r="O33" s="92"/>
    </row>
    <row r="34" spans="1:15" x14ac:dyDescent="0.25">
      <c r="C34" s="83"/>
    </row>
    <row r="35" spans="1:15" x14ac:dyDescent="0.25">
      <c r="C35" s="83"/>
    </row>
    <row r="36" spans="1:15" x14ac:dyDescent="0.25">
      <c r="C36" s="83"/>
    </row>
    <row r="37" spans="1:15" x14ac:dyDescent="0.25">
      <c r="C37" s="83"/>
    </row>
  </sheetData>
  <sheetProtection algorithmName="SHA-512" hashValue="1v2RdGu08/KbQXU56Q97huw2elPVzuu8ap+9IRcn7j1xVempmwmPGGYjjrKFcAt4STx2MmdLmnpmjs42pttTyw==" saltValue="InBNHFoRfP8oUTvFnfRekA==" spinCount="100000" sheet="1" objects="1" scenarios="1"/>
  <mergeCells count="10">
    <mergeCell ref="B11:H11"/>
    <mergeCell ref="B12:H12"/>
    <mergeCell ref="A1:H2"/>
    <mergeCell ref="A3:H4"/>
    <mergeCell ref="A6:H6"/>
    <mergeCell ref="B8:H8"/>
    <mergeCell ref="B9:H9"/>
    <mergeCell ref="B10:H10"/>
    <mergeCell ref="B14:H14"/>
    <mergeCell ref="B13:H13"/>
  </mergeCells>
  <conditionalFormatting sqref="B18:H18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19:H1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20:H2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16:H21 B23:H23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{D6821EB5-CCC2-43A2-AD84-B5854AC553EF}</x14:id>
        </ext>
      </extLst>
    </cfRule>
  </conditionalFormatting>
  <conditionalFormatting sqref="B24:G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hyperlinks>
    <hyperlink ref="B8:H8" location="CALCULODERECURSOS!A1" display="CALCULO DE RECURSOS"/>
    <hyperlink ref="B9:H9" location="EJECICIONEROGACIONES!A1" display="EJECUCION DE LAS EROGACIONES"/>
    <hyperlink ref="B12:H12" location="COMPARATIVAANUAL!A1" display="COMPARATIVA ANUAL"/>
    <hyperlink ref="B11:H11" location="GASTOSPRINCIPALESCUENTAS!A1" display="RESUMEN DE EROGACIONES - PRINICPALES CUENTAS"/>
    <hyperlink ref="B14:H14" location="DETALLEBIENESYSERVICIOS!A1" display="COMPARATIVA DE BIENES Y SERVICIOS NO PERSONALES POR CUENTA"/>
    <hyperlink ref="B10:H10" location="PRINC.TASAS!A1" display="RESUMEN DEL CALCULO DE RECUSOS - PRINCIPALES TASAS"/>
    <hyperlink ref="B13:H13" location="COMPRATIVAMENSUAL!A1" display="COMPATATIVA MENSUAL - ESQUEMA AHORRO INVERSION"/>
  </hyperlink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1EB5-CCC2-43A2-AD84-B5854AC553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B16:H21 B23:H23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O78"/>
  <sheetViews>
    <sheetView zoomScale="106" zoomScaleNormal="106" workbookViewId="0">
      <selection activeCell="C1" sqref="C1:E1"/>
    </sheetView>
  </sheetViews>
  <sheetFormatPr defaultColWidth="11.42578125" defaultRowHeight="12.75" x14ac:dyDescent="0.2"/>
  <cols>
    <col min="1" max="1" width="37.140625" style="2" customWidth="1"/>
    <col min="2" max="2" width="18.7109375" style="19" bestFit="1" customWidth="1"/>
    <col min="3" max="6" width="17.7109375" style="19" bestFit="1" customWidth="1"/>
    <col min="7" max="7" width="14" style="19" customWidth="1"/>
    <col min="8" max="8" width="15.42578125" style="19" customWidth="1"/>
    <col min="9" max="14" width="5.28515625" style="2" customWidth="1"/>
    <col min="15" max="15" width="14" style="2" bestFit="1" customWidth="1"/>
    <col min="16" max="16384" width="11.42578125" style="2"/>
  </cols>
  <sheetData>
    <row r="1" spans="1:15" ht="20.25" x14ac:dyDescent="0.3">
      <c r="A1" s="1" t="s">
        <v>0</v>
      </c>
      <c r="B1" s="18"/>
      <c r="C1" s="312" t="s">
        <v>150</v>
      </c>
      <c r="D1" s="312"/>
      <c r="E1" s="312"/>
      <c r="H1" s="172"/>
      <c r="I1" s="59"/>
      <c r="J1" s="59"/>
      <c r="K1" s="59"/>
    </row>
    <row r="2" spans="1:15" ht="15.75" x14ac:dyDescent="0.25">
      <c r="A2" s="3" t="s">
        <v>1</v>
      </c>
      <c r="B2" s="20"/>
      <c r="H2" s="173"/>
      <c r="I2" s="59"/>
      <c r="J2" s="59"/>
      <c r="K2" s="59"/>
    </row>
    <row r="3" spans="1:15" ht="15.75" x14ac:dyDescent="0.25">
      <c r="A3" s="3" t="s">
        <v>2</v>
      </c>
      <c r="H3" s="172"/>
      <c r="I3" s="59"/>
      <c r="J3" s="59"/>
      <c r="K3" s="59"/>
    </row>
    <row r="4" spans="1:15" s="5" customFormat="1" ht="11.25" x14ac:dyDescent="0.2">
      <c r="A4" s="4"/>
      <c r="B4" s="21"/>
      <c r="C4" s="21"/>
      <c r="D4" s="21"/>
      <c r="E4" s="21"/>
      <c r="F4" s="21"/>
      <c r="G4" s="21"/>
      <c r="H4" s="174"/>
      <c r="I4" s="170"/>
      <c r="J4" s="170"/>
      <c r="K4" s="170"/>
    </row>
    <row r="5" spans="1:15" s="5" customFormat="1" ht="11.25" x14ac:dyDescent="0.2">
      <c r="A5" s="4"/>
      <c r="B5" s="21"/>
      <c r="C5" s="21"/>
      <c r="D5" s="21"/>
      <c r="E5" s="21"/>
      <c r="F5" s="21"/>
      <c r="G5" s="21"/>
      <c r="H5" s="174"/>
      <c r="I5" s="170"/>
      <c r="J5" s="170"/>
      <c r="K5" s="170"/>
    </row>
    <row r="6" spans="1:15" s="5" customFormat="1" ht="11.25" x14ac:dyDescent="0.2">
      <c r="A6" s="106" t="s">
        <v>3</v>
      </c>
      <c r="B6" s="107" t="s">
        <v>68</v>
      </c>
      <c r="C6" s="107" t="s">
        <v>69</v>
      </c>
      <c r="D6" s="107" t="s">
        <v>72</v>
      </c>
      <c r="E6" s="107" t="s">
        <v>71</v>
      </c>
      <c r="F6" s="107" t="s">
        <v>73</v>
      </c>
      <c r="G6" s="107" t="s">
        <v>74</v>
      </c>
      <c r="H6" s="107" t="s">
        <v>75</v>
      </c>
      <c r="I6" s="108" t="s">
        <v>76</v>
      </c>
      <c r="J6" s="108" t="s">
        <v>77</v>
      </c>
      <c r="K6" s="108" t="s">
        <v>78</v>
      </c>
      <c r="L6" s="108" t="s">
        <v>79</v>
      </c>
      <c r="M6" s="108" t="s">
        <v>80</v>
      </c>
      <c r="N6" s="108" t="s">
        <v>81</v>
      </c>
      <c r="O6" s="108" t="s">
        <v>188</v>
      </c>
    </row>
    <row r="7" spans="1:15" s="5" customFormat="1" ht="11.25" x14ac:dyDescent="0.2">
      <c r="A7" s="6"/>
      <c r="B7" s="21"/>
      <c r="C7" s="21"/>
      <c r="D7" s="21"/>
      <c r="E7" s="21"/>
      <c r="F7" s="21"/>
      <c r="G7" s="21"/>
      <c r="H7" s="21"/>
    </row>
    <row r="8" spans="1:15" s="5" customFormat="1" ht="11.25" x14ac:dyDescent="0.2">
      <c r="A8" s="75" t="s">
        <v>4</v>
      </c>
      <c r="B8" s="94">
        <f>+B9+B51+B60</f>
        <v>255960000</v>
      </c>
      <c r="C8" s="94">
        <f t="shared" ref="C8:N8" si="0">+C9+C51+C60</f>
        <v>23744081.469999999</v>
      </c>
      <c r="D8" s="94">
        <f t="shared" si="0"/>
        <v>18785567.229999997</v>
      </c>
      <c r="E8" s="94">
        <f t="shared" si="0"/>
        <v>19061741.100000001</v>
      </c>
      <c r="F8" s="94">
        <f t="shared" si="0"/>
        <v>25744004.939999998</v>
      </c>
      <c r="G8" s="94">
        <f t="shared" si="0"/>
        <v>21269840.149999999</v>
      </c>
      <c r="H8" s="94">
        <f t="shared" si="0"/>
        <v>24085912.020000003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5">
        <f>SUM(C8:N8)</f>
        <v>132691146.91</v>
      </c>
    </row>
    <row r="9" spans="1:15" s="5" customFormat="1" ht="11.25" x14ac:dyDescent="0.2">
      <c r="A9" s="74" t="s">
        <v>5</v>
      </c>
      <c r="B9" s="96">
        <f>+B10+B37</f>
        <v>123110000</v>
      </c>
      <c r="C9" s="96">
        <f t="shared" ref="C9:N9" si="1">+C10+C37</f>
        <v>10304253.540000001</v>
      </c>
      <c r="D9" s="96">
        <f t="shared" si="1"/>
        <v>8960406.5599999987</v>
      </c>
      <c r="E9" s="96">
        <f t="shared" si="1"/>
        <v>9591713.6400000006</v>
      </c>
      <c r="F9" s="96">
        <f t="shared" si="1"/>
        <v>10721056.949999999</v>
      </c>
      <c r="G9" s="96">
        <f t="shared" si="1"/>
        <v>10290175.27</v>
      </c>
      <c r="H9" s="96">
        <f t="shared" si="1"/>
        <v>11454018.950000001</v>
      </c>
      <c r="I9" s="96">
        <f t="shared" si="1"/>
        <v>0</v>
      </c>
      <c r="J9" s="96">
        <f t="shared" si="1"/>
        <v>0</v>
      </c>
      <c r="K9" s="96">
        <f t="shared" si="1"/>
        <v>0</v>
      </c>
      <c r="L9" s="96">
        <f t="shared" si="1"/>
        <v>0</v>
      </c>
      <c r="M9" s="96">
        <f t="shared" si="1"/>
        <v>0</v>
      </c>
      <c r="N9" s="96">
        <f t="shared" si="1"/>
        <v>0</v>
      </c>
      <c r="O9" s="95">
        <f t="shared" ref="O9:O71" si="2">SUM(C9:N9)</f>
        <v>61321624.909999996</v>
      </c>
    </row>
    <row r="10" spans="1:15" s="5" customFormat="1" ht="11.25" x14ac:dyDescent="0.2">
      <c r="A10" s="76" t="s">
        <v>6</v>
      </c>
      <c r="B10" s="97">
        <f>SUM(B11:B36)</f>
        <v>109070000</v>
      </c>
      <c r="C10" s="97">
        <f t="shared" ref="C10:H10" si="3">SUM(C11:C36)</f>
        <v>8921307.3000000007</v>
      </c>
      <c r="D10" s="97">
        <f t="shared" si="3"/>
        <v>7665040.5599999996</v>
      </c>
      <c r="E10" s="97">
        <f t="shared" si="3"/>
        <v>8618451.4299999997</v>
      </c>
      <c r="F10" s="97">
        <f t="shared" si="3"/>
        <v>9789508.1499999985</v>
      </c>
      <c r="G10" s="97">
        <f t="shared" si="3"/>
        <v>8906861.8399999999</v>
      </c>
      <c r="H10" s="97">
        <f t="shared" si="3"/>
        <v>10183062.030000001</v>
      </c>
      <c r="I10" s="98"/>
      <c r="J10" s="98"/>
      <c r="K10" s="98"/>
      <c r="L10" s="98"/>
      <c r="M10" s="98"/>
      <c r="N10" s="98"/>
      <c r="O10" s="95">
        <f t="shared" si="2"/>
        <v>54084231.310000002</v>
      </c>
    </row>
    <row r="11" spans="1:15" s="5" customFormat="1" ht="11.25" x14ac:dyDescent="0.2">
      <c r="A11" s="7" t="s">
        <v>7</v>
      </c>
      <c r="B11" s="99">
        <v>9500000</v>
      </c>
      <c r="C11" s="99">
        <v>621206.49</v>
      </c>
      <c r="D11" s="99">
        <v>960656.7</v>
      </c>
      <c r="E11" s="99">
        <v>734234.26</v>
      </c>
      <c r="F11" s="99">
        <v>1119475.48</v>
      </c>
      <c r="G11" s="99">
        <v>665042.96</v>
      </c>
      <c r="H11" s="99">
        <v>1182765.73</v>
      </c>
      <c r="I11" s="7"/>
      <c r="J11" s="7"/>
      <c r="K11" s="7"/>
      <c r="L11" s="7"/>
      <c r="M11" s="7"/>
      <c r="N11" s="7"/>
      <c r="O11" s="95">
        <f t="shared" si="2"/>
        <v>5283381.62</v>
      </c>
    </row>
    <row r="12" spans="1:15" s="5" customFormat="1" ht="11.25" x14ac:dyDescent="0.2">
      <c r="A12" s="7" t="s">
        <v>8</v>
      </c>
      <c r="B12" s="99">
        <v>9500000</v>
      </c>
      <c r="C12" s="99">
        <v>626898.52</v>
      </c>
      <c r="D12" s="99">
        <v>959600.32</v>
      </c>
      <c r="E12" s="99">
        <v>718990.94</v>
      </c>
      <c r="F12" s="99">
        <v>1155487.6499999999</v>
      </c>
      <c r="G12" s="99">
        <v>681698.09</v>
      </c>
      <c r="H12" s="99">
        <v>1147136.57</v>
      </c>
      <c r="I12" s="7"/>
      <c r="J12" s="7"/>
      <c r="K12" s="7"/>
      <c r="L12" s="7"/>
      <c r="M12" s="7"/>
      <c r="N12" s="7"/>
      <c r="O12" s="95">
        <f t="shared" si="2"/>
        <v>5289812.09</v>
      </c>
    </row>
    <row r="13" spans="1:15" s="5" customFormat="1" ht="11.25" x14ac:dyDescent="0.2">
      <c r="A13" s="7" t="s">
        <v>9</v>
      </c>
      <c r="B13" s="99">
        <v>54000000</v>
      </c>
      <c r="C13" s="99">
        <v>5152422.7699999996</v>
      </c>
      <c r="D13" s="99">
        <v>3353033.16</v>
      </c>
      <c r="E13" s="99">
        <v>4369835.96</v>
      </c>
      <c r="F13" s="99">
        <v>4370587.79</v>
      </c>
      <c r="G13" s="99">
        <v>4525928.3899999997</v>
      </c>
      <c r="H13" s="99">
        <v>4263081.45</v>
      </c>
      <c r="I13" s="7"/>
      <c r="J13" s="7"/>
      <c r="K13" s="7"/>
      <c r="L13" s="7"/>
      <c r="M13" s="7"/>
      <c r="N13" s="7"/>
      <c r="O13" s="95">
        <f t="shared" si="2"/>
        <v>26034889.52</v>
      </c>
    </row>
    <row r="14" spans="1:15" s="5" customFormat="1" ht="11.25" x14ac:dyDescent="0.2">
      <c r="A14" s="7" t="s">
        <v>10</v>
      </c>
      <c r="B14" s="99">
        <v>100000</v>
      </c>
      <c r="C14" s="99">
        <v>2640</v>
      </c>
      <c r="D14" s="99">
        <v>5476</v>
      </c>
      <c r="E14" s="99">
        <v>10194</v>
      </c>
      <c r="F14" s="99">
        <v>6345</v>
      </c>
      <c r="G14" s="99">
        <v>9288</v>
      </c>
      <c r="H14" s="99">
        <v>10233.799999999999</v>
      </c>
      <c r="I14" s="7"/>
      <c r="J14" s="7"/>
      <c r="K14" s="7"/>
      <c r="L14" s="7"/>
      <c r="M14" s="7"/>
      <c r="N14" s="7"/>
      <c r="O14" s="95">
        <f t="shared" si="2"/>
        <v>44176.800000000003</v>
      </c>
    </row>
    <row r="15" spans="1:15" s="5" customFormat="1" ht="11.25" x14ac:dyDescent="0.2">
      <c r="A15" s="7" t="s">
        <v>11</v>
      </c>
      <c r="B15" s="99">
        <v>330000</v>
      </c>
      <c r="C15" s="99">
        <v>30409.42</v>
      </c>
      <c r="D15" s="99">
        <v>41233.050000000003</v>
      </c>
      <c r="E15" s="99">
        <v>32788.800000000003</v>
      </c>
      <c r="F15" s="99">
        <v>35769.599999999999</v>
      </c>
      <c r="G15" s="99">
        <v>33064.949999999997</v>
      </c>
      <c r="H15" s="99">
        <v>35328.04</v>
      </c>
      <c r="I15" s="7"/>
      <c r="J15" s="7"/>
      <c r="K15" s="7"/>
      <c r="L15" s="7"/>
      <c r="M15" s="7"/>
      <c r="N15" s="7"/>
      <c r="O15" s="95">
        <f t="shared" si="2"/>
        <v>208593.86000000002</v>
      </c>
    </row>
    <row r="16" spans="1:15" s="5" customFormat="1" ht="11.25" x14ac:dyDescent="0.2">
      <c r="A16" s="7" t="s">
        <v>12</v>
      </c>
      <c r="B16" s="99">
        <v>160000</v>
      </c>
      <c r="C16" s="99">
        <v>9284</v>
      </c>
      <c r="D16" s="99">
        <v>12826</v>
      </c>
      <c r="E16" s="99">
        <v>9311.1</v>
      </c>
      <c r="F16" s="99">
        <v>9848</v>
      </c>
      <c r="G16" s="99">
        <v>9574.2000000000007</v>
      </c>
      <c r="H16" s="99">
        <v>9691.65</v>
      </c>
      <c r="I16" s="7"/>
      <c r="J16" s="7"/>
      <c r="K16" s="7"/>
      <c r="L16" s="7"/>
      <c r="M16" s="7"/>
      <c r="N16" s="7"/>
      <c r="O16" s="95">
        <f t="shared" si="2"/>
        <v>60534.950000000004</v>
      </c>
    </row>
    <row r="17" spans="1:15" s="5" customFormat="1" ht="11.25" x14ac:dyDescent="0.2">
      <c r="A17" s="7" t="s">
        <v>13</v>
      </c>
      <c r="B17" s="99">
        <v>1200000</v>
      </c>
      <c r="C17" s="99">
        <v>111952.42</v>
      </c>
      <c r="D17" s="99">
        <v>116906.72</v>
      </c>
      <c r="E17" s="99">
        <v>105536.05</v>
      </c>
      <c r="F17" s="99">
        <v>101474.92</v>
      </c>
      <c r="G17" s="99">
        <v>123692.98</v>
      </c>
      <c r="H17" s="99">
        <v>146400.07</v>
      </c>
      <c r="I17" s="7"/>
      <c r="J17" s="7"/>
      <c r="K17" s="7"/>
      <c r="L17" s="7"/>
      <c r="M17" s="7"/>
      <c r="N17" s="7"/>
      <c r="O17" s="95">
        <f t="shared" si="2"/>
        <v>705963.15999999992</v>
      </c>
    </row>
    <row r="18" spans="1:15" s="5" customFormat="1" ht="11.25" x14ac:dyDescent="0.2">
      <c r="A18" s="7" t="s">
        <v>14</v>
      </c>
      <c r="B18" s="99">
        <v>10000</v>
      </c>
      <c r="C18" s="99">
        <v>240</v>
      </c>
      <c r="D18" s="99">
        <v>0</v>
      </c>
      <c r="E18" s="99">
        <v>310.5</v>
      </c>
      <c r="F18" s="99">
        <v>310.5</v>
      </c>
      <c r="G18" s="99">
        <v>310.5</v>
      </c>
      <c r="H18" s="99">
        <v>310.5</v>
      </c>
      <c r="I18" s="7"/>
      <c r="J18" s="7"/>
      <c r="K18" s="7"/>
      <c r="L18" s="7"/>
      <c r="M18" s="7"/>
      <c r="N18" s="7"/>
      <c r="O18" s="95">
        <f t="shared" si="2"/>
        <v>1482</v>
      </c>
    </row>
    <row r="19" spans="1:15" s="5" customFormat="1" ht="11.25" x14ac:dyDescent="0.2">
      <c r="A19" s="7" t="s">
        <v>15</v>
      </c>
      <c r="B19" s="99">
        <v>1200000</v>
      </c>
      <c r="C19" s="99">
        <v>145148.65</v>
      </c>
      <c r="D19" s="99">
        <v>113397.99</v>
      </c>
      <c r="E19" s="99">
        <v>126317.41</v>
      </c>
      <c r="F19" s="99">
        <v>182435.58</v>
      </c>
      <c r="G19" s="99">
        <v>129524.03</v>
      </c>
      <c r="H19" s="99">
        <v>145218.51</v>
      </c>
      <c r="I19" s="7"/>
      <c r="J19" s="7"/>
      <c r="K19" s="7"/>
      <c r="L19" s="7"/>
      <c r="M19" s="7"/>
      <c r="N19" s="7"/>
      <c r="O19" s="95">
        <f t="shared" si="2"/>
        <v>842042.17</v>
      </c>
    </row>
    <row r="20" spans="1:15" s="5" customFormat="1" ht="11.25" x14ac:dyDescent="0.2">
      <c r="A20" s="7" t="s">
        <v>16</v>
      </c>
      <c r="B20" s="99">
        <v>1300000</v>
      </c>
      <c r="C20" s="99">
        <v>133484</v>
      </c>
      <c r="D20" s="99">
        <v>128220.6</v>
      </c>
      <c r="E20" s="99">
        <v>151725.5</v>
      </c>
      <c r="F20" s="99">
        <v>158118.1</v>
      </c>
      <c r="G20" s="99">
        <v>149380</v>
      </c>
      <c r="H20" s="99">
        <v>128381.5</v>
      </c>
      <c r="I20" s="7"/>
      <c r="J20" s="7"/>
      <c r="K20" s="7"/>
      <c r="L20" s="7"/>
      <c r="M20" s="7"/>
      <c r="N20" s="7"/>
      <c r="O20" s="95">
        <f t="shared" si="2"/>
        <v>849309.7</v>
      </c>
    </row>
    <row r="21" spans="1:15" s="5" customFormat="1" ht="11.25" x14ac:dyDescent="0.2">
      <c r="A21" s="7" t="s">
        <v>17</v>
      </c>
      <c r="B21" s="99">
        <v>110000</v>
      </c>
      <c r="C21" s="99">
        <v>5984.75</v>
      </c>
      <c r="D21" s="99">
        <v>4602.08</v>
      </c>
      <c r="E21" s="99">
        <v>6751.09</v>
      </c>
      <c r="F21" s="99">
        <v>3835.75</v>
      </c>
      <c r="G21" s="99">
        <v>3835.75</v>
      </c>
      <c r="H21" s="99">
        <v>3835.75</v>
      </c>
      <c r="I21" s="7"/>
      <c r="J21" s="7"/>
      <c r="K21" s="7"/>
      <c r="L21" s="7"/>
      <c r="M21" s="7"/>
      <c r="N21" s="7"/>
      <c r="O21" s="95">
        <f t="shared" si="2"/>
        <v>28845.17</v>
      </c>
    </row>
    <row r="22" spans="1:15" s="5" customFormat="1" ht="11.25" x14ac:dyDescent="0.2">
      <c r="A22" s="7" t="s">
        <v>18</v>
      </c>
      <c r="B22" s="99">
        <v>120000</v>
      </c>
      <c r="C22" s="99">
        <v>11524.56</v>
      </c>
      <c r="D22" s="99">
        <v>8231.48</v>
      </c>
      <c r="E22" s="99">
        <v>19751.14</v>
      </c>
      <c r="F22" s="99">
        <v>17128.02</v>
      </c>
      <c r="G22" s="99">
        <v>90228.800000000003</v>
      </c>
      <c r="H22" s="99">
        <v>13868.31</v>
      </c>
      <c r="I22" s="7"/>
      <c r="J22" s="7"/>
      <c r="K22" s="7"/>
      <c r="L22" s="7"/>
      <c r="M22" s="7"/>
      <c r="N22" s="7"/>
      <c r="O22" s="95">
        <f t="shared" si="2"/>
        <v>160732.31</v>
      </c>
    </row>
    <row r="23" spans="1:15" s="5" customFormat="1" ht="11.25" x14ac:dyDescent="0.2">
      <c r="A23" s="7" t="s">
        <v>19</v>
      </c>
      <c r="B23" s="99">
        <v>110000</v>
      </c>
      <c r="C23" s="99">
        <v>10560</v>
      </c>
      <c r="D23" s="99">
        <v>9900</v>
      </c>
      <c r="E23" s="99">
        <v>8430</v>
      </c>
      <c r="F23" s="99">
        <v>4050</v>
      </c>
      <c r="G23" s="99">
        <v>6075</v>
      </c>
      <c r="H23" s="99">
        <v>6480</v>
      </c>
      <c r="I23" s="7"/>
      <c r="J23" s="7"/>
      <c r="K23" s="7"/>
      <c r="L23" s="7"/>
      <c r="M23" s="7"/>
      <c r="N23" s="7"/>
      <c r="O23" s="95">
        <f t="shared" si="2"/>
        <v>45495</v>
      </c>
    </row>
    <row r="24" spans="1:15" s="5" customFormat="1" ht="11.25" x14ac:dyDescent="0.2">
      <c r="A24" s="7" t="s">
        <v>20</v>
      </c>
      <c r="B24" s="99">
        <v>80000</v>
      </c>
      <c r="C24" s="99">
        <v>4976.01</v>
      </c>
      <c r="D24" s="99">
        <v>5461.31</v>
      </c>
      <c r="E24" s="99">
        <v>6285.11</v>
      </c>
      <c r="F24" s="99">
        <v>9016.0499999999993</v>
      </c>
      <c r="G24" s="99">
        <v>6484.52</v>
      </c>
      <c r="H24" s="99">
        <v>6638.46</v>
      </c>
      <c r="I24" s="7"/>
      <c r="J24" s="7"/>
      <c r="K24" s="7"/>
      <c r="L24" s="7"/>
      <c r="M24" s="7"/>
      <c r="N24" s="7"/>
      <c r="O24" s="95">
        <f t="shared" si="2"/>
        <v>38861.46</v>
      </c>
    </row>
    <row r="25" spans="1:15" s="5" customFormat="1" ht="11.25" x14ac:dyDescent="0.2">
      <c r="A25" s="7" t="s">
        <v>21</v>
      </c>
      <c r="B25" s="99">
        <v>2800000</v>
      </c>
      <c r="C25" s="99">
        <v>209146.05</v>
      </c>
      <c r="D25" s="99">
        <v>195014.98</v>
      </c>
      <c r="E25" s="99">
        <v>194068.08</v>
      </c>
      <c r="F25" s="99">
        <v>236532.46</v>
      </c>
      <c r="G25" s="99">
        <v>272523.84999999998</v>
      </c>
      <c r="H25" s="99">
        <v>336010.43</v>
      </c>
      <c r="I25" s="7"/>
      <c r="J25" s="7"/>
      <c r="K25" s="7"/>
      <c r="L25" s="7"/>
      <c r="M25" s="7"/>
      <c r="N25" s="7"/>
      <c r="O25" s="95">
        <f t="shared" si="2"/>
        <v>1443295.8499999999</v>
      </c>
    </row>
    <row r="26" spans="1:15" s="5" customFormat="1" ht="11.25" x14ac:dyDescent="0.2">
      <c r="A26" s="7" t="s">
        <v>22</v>
      </c>
      <c r="B26" s="99">
        <v>2500000</v>
      </c>
      <c r="C26" s="99">
        <v>315210.36</v>
      </c>
      <c r="D26" s="99">
        <v>121034.31</v>
      </c>
      <c r="E26" s="99">
        <v>193330.22</v>
      </c>
      <c r="F26" s="99">
        <v>106214.12</v>
      </c>
      <c r="G26" s="99">
        <v>140508.62</v>
      </c>
      <c r="H26" s="99">
        <v>126765.11</v>
      </c>
      <c r="I26" s="7"/>
      <c r="J26" s="7"/>
      <c r="K26" s="7"/>
      <c r="L26" s="7"/>
      <c r="M26" s="7"/>
      <c r="N26" s="7"/>
      <c r="O26" s="95">
        <f t="shared" si="2"/>
        <v>1003062.74</v>
      </c>
    </row>
    <row r="27" spans="1:15" s="5" customFormat="1" ht="11.25" x14ac:dyDescent="0.2">
      <c r="A27" s="7" t="s">
        <v>82</v>
      </c>
      <c r="B27" s="99">
        <v>50000</v>
      </c>
      <c r="C27" s="99">
        <v>220</v>
      </c>
      <c r="D27" s="99">
        <v>9278</v>
      </c>
      <c r="E27" s="99">
        <v>810</v>
      </c>
      <c r="F27" s="99">
        <v>810</v>
      </c>
      <c r="G27" s="99">
        <v>1600</v>
      </c>
      <c r="H27" s="99">
        <v>270</v>
      </c>
      <c r="I27" s="7"/>
      <c r="J27" s="7"/>
      <c r="K27" s="7"/>
      <c r="L27" s="7"/>
      <c r="M27" s="7"/>
      <c r="N27" s="7"/>
      <c r="O27" s="95">
        <f t="shared" si="2"/>
        <v>12988</v>
      </c>
    </row>
    <row r="28" spans="1:15" s="5" customFormat="1" ht="3.75" hidden="1" customHeight="1" x14ac:dyDescent="0.2">
      <c r="A28" s="7" t="s">
        <v>23</v>
      </c>
      <c r="B28" s="99"/>
      <c r="C28" s="99"/>
      <c r="D28" s="99"/>
      <c r="E28" s="99"/>
      <c r="F28" s="99"/>
      <c r="G28" s="99"/>
      <c r="H28" s="99"/>
      <c r="I28" s="7"/>
      <c r="J28" s="7"/>
      <c r="K28" s="7"/>
      <c r="L28" s="7"/>
      <c r="M28" s="7"/>
      <c r="N28" s="7"/>
      <c r="O28" s="95">
        <f t="shared" si="2"/>
        <v>0</v>
      </c>
    </row>
    <row r="29" spans="1:15" s="5" customFormat="1" ht="3.75" hidden="1" customHeight="1" x14ac:dyDescent="0.2">
      <c r="A29" s="7" t="s">
        <v>24</v>
      </c>
      <c r="B29" s="99"/>
      <c r="C29" s="99"/>
      <c r="D29" s="99"/>
      <c r="E29" s="99"/>
      <c r="F29" s="99"/>
      <c r="G29" s="99"/>
      <c r="H29" s="99"/>
      <c r="I29" s="7"/>
      <c r="J29" s="7"/>
      <c r="K29" s="7"/>
      <c r="L29" s="7"/>
      <c r="M29" s="7"/>
      <c r="N29" s="7"/>
      <c r="O29" s="95">
        <f t="shared" si="2"/>
        <v>0</v>
      </c>
    </row>
    <row r="30" spans="1:15" s="5" customFormat="1" ht="3.75" hidden="1" customHeight="1" x14ac:dyDescent="0.2">
      <c r="A30" s="7" t="s">
        <v>25</v>
      </c>
      <c r="B30" s="99"/>
      <c r="C30" s="99"/>
      <c r="D30" s="99"/>
      <c r="E30" s="99"/>
      <c r="F30" s="99"/>
      <c r="G30" s="99"/>
      <c r="H30" s="99"/>
      <c r="I30" s="7"/>
      <c r="J30" s="7"/>
      <c r="K30" s="7"/>
      <c r="L30" s="7"/>
      <c r="M30" s="7"/>
      <c r="N30" s="7"/>
      <c r="O30" s="95">
        <f t="shared" si="2"/>
        <v>0</v>
      </c>
    </row>
    <row r="31" spans="1:15" s="5" customFormat="1" ht="3.75" hidden="1" customHeight="1" x14ac:dyDescent="0.2">
      <c r="A31" s="7" t="s">
        <v>26</v>
      </c>
      <c r="B31" s="99"/>
      <c r="C31" s="99"/>
      <c r="D31" s="99"/>
      <c r="E31" s="99"/>
      <c r="F31" s="99"/>
      <c r="G31" s="99"/>
      <c r="H31" s="99"/>
      <c r="I31" s="7"/>
      <c r="J31" s="7"/>
      <c r="K31" s="7"/>
      <c r="L31" s="7"/>
      <c r="M31" s="7"/>
      <c r="N31" s="7"/>
      <c r="O31" s="95">
        <f t="shared" si="2"/>
        <v>0</v>
      </c>
    </row>
    <row r="32" spans="1:15" s="5" customFormat="1" ht="3.75" hidden="1" customHeight="1" x14ac:dyDescent="0.2">
      <c r="A32" s="7" t="s">
        <v>27</v>
      </c>
      <c r="B32" s="99"/>
      <c r="C32" s="99"/>
      <c r="D32" s="99"/>
      <c r="E32" s="99"/>
      <c r="F32" s="99"/>
      <c r="G32" s="99"/>
      <c r="H32" s="99"/>
      <c r="I32" s="7"/>
      <c r="J32" s="7"/>
      <c r="K32" s="7"/>
      <c r="L32" s="7"/>
      <c r="M32" s="7"/>
      <c r="N32" s="7"/>
      <c r="O32" s="95">
        <f t="shared" si="2"/>
        <v>0</v>
      </c>
    </row>
    <row r="33" spans="1:15" s="5" customFormat="1" ht="11.25" x14ac:dyDescent="0.2">
      <c r="A33" s="7" t="s">
        <v>28</v>
      </c>
      <c r="B33" s="99">
        <v>13000000</v>
      </c>
      <c r="C33" s="99">
        <v>919931.96</v>
      </c>
      <c r="D33" s="99">
        <v>760829.98</v>
      </c>
      <c r="E33" s="99">
        <v>775239.39</v>
      </c>
      <c r="F33" s="99">
        <v>951706.43</v>
      </c>
      <c r="G33" s="99">
        <v>758373.2</v>
      </c>
      <c r="H33" s="99">
        <v>921864.09</v>
      </c>
      <c r="I33" s="7"/>
      <c r="J33" s="7"/>
      <c r="K33" s="7"/>
      <c r="L33" s="7"/>
      <c r="M33" s="7"/>
      <c r="N33" s="7"/>
      <c r="O33" s="95">
        <f t="shared" si="2"/>
        <v>5087945.05</v>
      </c>
    </row>
    <row r="34" spans="1:15" s="5" customFormat="1" ht="11.25" x14ac:dyDescent="0.2">
      <c r="A34" s="7" t="s">
        <v>29</v>
      </c>
      <c r="B34" s="99">
        <v>6000000</v>
      </c>
      <c r="C34" s="99">
        <v>229995.55</v>
      </c>
      <c r="D34" s="99">
        <v>323281.53000000003</v>
      </c>
      <c r="E34" s="99">
        <v>682259.8</v>
      </c>
      <c r="F34" s="99">
        <v>779422.19</v>
      </c>
      <c r="G34" s="99">
        <v>903525.38</v>
      </c>
      <c r="H34" s="99">
        <v>981428.26</v>
      </c>
      <c r="I34" s="7"/>
      <c r="J34" s="7"/>
      <c r="K34" s="7"/>
      <c r="L34" s="7"/>
      <c r="M34" s="7"/>
      <c r="N34" s="7"/>
      <c r="O34" s="95">
        <f t="shared" si="2"/>
        <v>3899912.71</v>
      </c>
    </row>
    <row r="35" spans="1:15" s="5" customFormat="1" ht="11.25" x14ac:dyDescent="0.2">
      <c r="A35" s="7" t="s">
        <v>30</v>
      </c>
      <c r="B35" s="99">
        <v>3500000</v>
      </c>
      <c r="C35" s="99">
        <v>167385.39000000001</v>
      </c>
      <c r="D35" s="99">
        <v>165345.5</v>
      </c>
      <c r="E35" s="99">
        <v>205557.7</v>
      </c>
      <c r="F35" s="99">
        <v>145025.35</v>
      </c>
      <c r="G35" s="99">
        <v>171959.25</v>
      </c>
      <c r="H35" s="99">
        <v>234913.58</v>
      </c>
      <c r="I35" s="7"/>
      <c r="J35" s="7"/>
      <c r="K35" s="7"/>
      <c r="L35" s="7"/>
      <c r="M35" s="7"/>
      <c r="N35" s="7"/>
      <c r="O35" s="95">
        <f t="shared" si="2"/>
        <v>1090186.77</v>
      </c>
    </row>
    <row r="36" spans="1:15" s="5" customFormat="1" ht="11.25" x14ac:dyDescent="0.2">
      <c r="A36" s="7" t="s">
        <v>31</v>
      </c>
      <c r="B36" s="99">
        <v>3500000</v>
      </c>
      <c r="C36" s="99">
        <v>212686.4</v>
      </c>
      <c r="D36" s="99">
        <v>370710.85</v>
      </c>
      <c r="E36" s="99">
        <v>266724.38</v>
      </c>
      <c r="F36" s="99">
        <v>395915.16</v>
      </c>
      <c r="G36" s="99">
        <v>224243.37</v>
      </c>
      <c r="H36" s="99">
        <v>482440.22</v>
      </c>
      <c r="I36" s="7"/>
      <c r="J36" s="7"/>
      <c r="K36" s="7"/>
      <c r="L36" s="7"/>
      <c r="M36" s="7"/>
      <c r="N36" s="7"/>
      <c r="O36" s="95">
        <f t="shared" si="2"/>
        <v>1952720.3800000001</v>
      </c>
    </row>
    <row r="37" spans="1:15" s="5" customFormat="1" ht="11.25" x14ac:dyDescent="0.2">
      <c r="A37" s="76" t="s">
        <v>32</v>
      </c>
      <c r="B37" s="97">
        <f>SUM(B38:B50)</f>
        <v>14040000</v>
      </c>
      <c r="C37" s="97">
        <f t="shared" ref="C37:N37" si="4">SUM(C38:C50)</f>
        <v>1382946.24</v>
      </c>
      <c r="D37" s="97">
        <f t="shared" si="4"/>
        <v>1295366</v>
      </c>
      <c r="E37" s="97">
        <f t="shared" si="4"/>
        <v>973262.21000000008</v>
      </c>
      <c r="F37" s="97">
        <f t="shared" si="4"/>
        <v>931548.79999999993</v>
      </c>
      <c r="G37" s="97">
        <f t="shared" si="4"/>
        <v>1383313.4300000002</v>
      </c>
      <c r="H37" s="97">
        <f t="shared" si="4"/>
        <v>1270956.9200000002</v>
      </c>
      <c r="I37" s="97">
        <f t="shared" si="4"/>
        <v>0</v>
      </c>
      <c r="J37" s="97">
        <f t="shared" si="4"/>
        <v>0</v>
      </c>
      <c r="K37" s="97">
        <f t="shared" si="4"/>
        <v>0</v>
      </c>
      <c r="L37" s="97">
        <f t="shared" si="4"/>
        <v>0</v>
      </c>
      <c r="M37" s="97">
        <f t="shared" si="4"/>
        <v>0</v>
      </c>
      <c r="N37" s="97">
        <f t="shared" si="4"/>
        <v>0</v>
      </c>
      <c r="O37" s="95">
        <f t="shared" si="2"/>
        <v>7237393.5999999996</v>
      </c>
    </row>
    <row r="38" spans="1:15" s="5" customFormat="1" ht="11.25" x14ac:dyDescent="0.2">
      <c r="A38" s="8" t="s">
        <v>33</v>
      </c>
      <c r="B38" s="99">
        <v>200000</v>
      </c>
      <c r="C38" s="99">
        <v>13670.5</v>
      </c>
      <c r="D38" s="99">
        <v>13670.5</v>
      </c>
      <c r="E38" s="99">
        <v>9470.5</v>
      </c>
      <c r="F38" s="99">
        <v>10070.5</v>
      </c>
      <c r="G38" s="99">
        <v>42700</v>
      </c>
      <c r="H38" s="99">
        <v>5500</v>
      </c>
      <c r="I38" s="7"/>
      <c r="J38" s="7"/>
      <c r="K38" s="7"/>
      <c r="L38" s="7"/>
      <c r="M38" s="7"/>
      <c r="N38" s="7"/>
      <c r="O38" s="95">
        <f t="shared" si="2"/>
        <v>95082</v>
      </c>
    </row>
    <row r="39" spans="1:15" s="5" customFormat="1" ht="11.25" x14ac:dyDescent="0.2">
      <c r="A39" s="8" t="s">
        <v>34</v>
      </c>
      <c r="B39" s="99">
        <v>700000</v>
      </c>
      <c r="C39" s="99">
        <v>82507.56</v>
      </c>
      <c r="D39" s="99">
        <v>205424.58</v>
      </c>
      <c r="E39" s="99">
        <v>353352.76</v>
      </c>
      <c r="F39" s="99">
        <v>631267.71</v>
      </c>
      <c r="G39" s="99">
        <v>685828.18</v>
      </c>
      <c r="H39" s="99">
        <v>911144.92</v>
      </c>
      <c r="I39" s="7"/>
      <c r="J39" s="7"/>
      <c r="K39" s="7"/>
      <c r="L39" s="7"/>
      <c r="M39" s="7"/>
      <c r="N39" s="7"/>
      <c r="O39" s="95">
        <f t="shared" si="2"/>
        <v>2869525.71</v>
      </c>
    </row>
    <row r="40" spans="1:15" s="5" customFormat="1" ht="11.25" x14ac:dyDescent="0.2">
      <c r="A40" s="8" t="s">
        <v>35</v>
      </c>
      <c r="B40" s="99">
        <v>300000</v>
      </c>
      <c r="C40" s="99">
        <v>37863</v>
      </c>
      <c r="D40" s="99">
        <v>88113</v>
      </c>
      <c r="E40" s="99">
        <v>16265</v>
      </c>
      <c r="F40" s="99">
        <v>16420</v>
      </c>
      <c r="G40" s="99">
        <v>0</v>
      </c>
      <c r="H40" s="99">
        <v>0</v>
      </c>
      <c r="I40" s="7"/>
      <c r="J40" s="7"/>
      <c r="K40" s="7"/>
      <c r="L40" s="7"/>
      <c r="M40" s="7"/>
      <c r="N40" s="7"/>
      <c r="O40" s="95">
        <f t="shared" si="2"/>
        <v>158661</v>
      </c>
    </row>
    <row r="41" spans="1:15" s="5" customFormat="1" ht="11.25" x14ac:dyDescent="0.2">
      <c r="A41" s="8" t="s">
        <v>36</v>
      </c>
      <c r="B41" s="99">
        <v>250000</v>
      </c>
      <c r="C41" s="99">
        <v>14850</v>
      </c>
      <c r="D41" s="99">
        <v>23992</v>
      </c>
      <c r="E41" s="99">
        <v>16350</v>
      </c>
      <c r="F41" s="99">
        <v>24463.599999999999</v>
      </c>
      <c r="G41" s="99">
        <v>31182.75</v>
      </c>
      <c r="H41" s="99">
        <v>38421.43</v>
      </c>
      <c r="I41" s="7"/>
      <c r="J41" s="7"/>
      <c r="K41" s="7"/>
      <c r="L41" s="7"/>
      <c r="M41" s="7"/>
      <c r="N41" s="7"/>
      <c r="O41" s="95">
        <f t="shared" si="2"/>
        <v>149259.78</v>
      </c>
    </row>
    <row r="42" spans="1:15" s="5" customFormat="1" ht="11.25" x14ac:dyDescent="0.2">
      <c r="A42" s="8" t="s">
        <v>37</v>
      </c>
      <c r="B42" s="99">
        <v>6000000</v>
      </c>
      <c r="C42" s="99">
        <v>1079636.22</v>
      </c>
      <c r="D42" s="99">
        <v>686831.43</v>
      </c>
      <c r="E42" s="99">
        <v>447499.89</v>
      </c>
      <c r="F42" s="99">
        <v>145002.64000000001</v>
      </c>
      <c r="G42" s="99">
        <v>149270</v>
      </c>
      <c r="H42" s="99">
        <v>211412</v>
      </c>
      <c r="I42" s="7"/>
      <c r="J42" s="7"/>
      <c r="K42" s="7"/>
      <c r="L42" s="7"/>
      <c r="M42" s="7"/>
      <c r="N42" s="7"/>
      <c r="O42" s="95">
        <f t="shared" si="2"/>
        <v>2719652.18</v>
      </c>
    </row>
    <row r="43" spans="1:15" s="5" customFormat="1" ht="11.25" x14ac:dyDescent="0.2">
      <c r="A43" s="8" t="s">
        <v>38</v>
      </c>
      <c r="B43" s="99">
        <v>300000</v>
      </c>
      <c r="C43" s="99">
        <v>0</v>
      </c>
      <c r="D43" s="99">
        <v>15870</v>
      </c>
      <c r="E43" s="99">
        <v>4858.26</v>
      </c>
      <c r="F43" s="99">
        <v>0</v>
      </c>
      <c r="G43" s="99">
        <v>0</v>
      </c>
      <c r="H43" s="99">
        <v>7110</v>
      </c>
      <c r="I43" s="7"/>
      <c r="J43" s="7"/>
      <c r="K43" s="7"/>
      <c r="L43" s="7"/>
      <c r="M43" s="7"/>
      <c r="N43" s="7"/>
      <c r="O43" s="95">
        <f t="shared" si="2"/>
        <v>27838.260000000002</v>
      </c>
    </row>
    <row r="44" spans="1:15" s="5" customFormat="1" ht="11.25" x14ac:dyDescent="0.2">
      <c r="A44" s="8" t="s">
        <v>39</v>
      </c>
      <c r="B44" s="99">
        <v>1300000</v>
      </c>
      <c r="C44" s="99">
        <v>64332</v>
      </c>
      <c r="D44" s="99">
        <v>20194</v>
      </c>
      <c r="E44" s="99">
        <v>28254</v>
      </c>
      <c r="F44" s="99">
        <v>3842</v>
      </c>
      <c r="G44" s="99">
        <v>212310.92</v>
      </c>
      <c r="H44" s="99">
        <v>0</v>
      </c>
      <c r="I44" s="7"/>
      <c r="J44" s="7"/>
      <c r="K44" s="7"/>
      <c r="L44" s="7"/>
      <c r="M44" s="7"/>
      <c r="N44" s="7"/>
      <c r="O44" s="95">
        <f t="shared" si="2"/>
        <v>328932.92000000004</v>
      </c>
    </row>
    <row r="45" spans="1:15" s="5" customFormat="1" ht="11.25" x14ac:dyDescent="0.2">
      <c r="A45" s="8" t="s">
        <v>40</v>
      </c>
      <c r="B45" s="99">
        <v>30000</v>
      </c>
      <c r="C45" s="99">
        <v>750</v>
      </c>
      <c r="D45" s="99">
        <v>750</v>
      </c>
      <c r="E45" s="99">
        <v>3750</v>
      </c>
      <c r="F45" s="99">
        <v>4500.32</v>
      </c>
      <c r="G45" s="99">
        <v>2500</v>
      </c>
      <c r="H45" s="99">
        <v>3500</v>
      </c>
      <c r="I45" s="7"/>
      <c r="J45" s="7"/>
      <c r="K45" s="7"/>
      <c r="L45" s="7"/>
      <c r="M45" s="7"/>
      <c r="N45" s="7"/>
      <c r="O45" s="95">
        <f t="shared" si="2"/>
        <v>15750.32</v>
      </c>
    </row>
    <row r="46" spans="1:15" s="5" customFormat="1" ht="11.25" x14ac:dyDescent="0.2">
      <c r="A46" s="8" t="s">
        <v>41</v>
      </c>
      <c r="B46" s="99">
        <v>200000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7"/>
      <c r="J46" s="7"/>
      <c r="K46" s="7"/>
      <c r="L46" s="7"/>
      <c r="M46" s="7"/>
      <c r="N46" s="7"/>
      <c r="O46" s="95">
        <f t="shared" si="2"/>
        <v>0</v>
      </c>
    </row>
    <row r="47" spans="1:15" s="5" customFormat="1" ht="11.25" x14ac:dyDescent="0.2">
      <c r="A47" s="8" t="s">
        <v>42</v>
      </c>
      <c r="B47" s="99">
        <v>4000000</v>
      </c>
      <c r="C47" s="99">
        <v>87386.96</v>
      </c>
      <c r="D47" s="99">
        <v>96520.49</v>
      </c>
      <c r="E47" s="99">
        <v>89561.8</v>
      </c>
      <c r="F47" s="99">
        <v>94032.03</v>
      </c>
      <c r="G47" s="99">
        <v>113571.58</v>
      </c>
      <c r="H47" s="99">
        <v>91918.57</v>
      </c>
      <c r="I47" s="7"/>
      <c r="J47" s="7"/>
      <c r="K47" s="7"/>
      <c r="L47" s="7"/>
      <c r="M47" s="7"/>
      <c r="N47" s="7"/>
      <c r="O47" s="95">
        <f t="shared" si="2"/>
        <v>572991.43000000005</v>
      </c>
    </row>
    <row r="48" spans="1:15" s="5" customFormat="1" ht="11.25" x14ac:dyDescent="0.2">
      <c r="A48" s="8" t="s">
        <v>43</v>
      </c>
      <c r="B48" s="99">
        <v>10000</v>
      </c>
      <c r="C48" s="99">
        <v>0</v>
      </c>
      <c r="D48" s="99">
        <v>0</v>
      </c>
      <c r="E48" s="99">
        <v>0</v>
      </c>
      <c r="F48" s="99">
        <v>0</v>
      </c>
      <c r="G48" s="99"/>
      <c r="H48" s="99">
        <v>0</v>
      </c>
      <c r="I48" s="7"/>
      <c r="J48" s="7"/>
      <c r="K48" s="7"/>
      <c r="L48" s="7"/>
      <c r="M48" s="7"/>
      <c r="N48" s="7"/>
      <c r="O48" s="95">
        <f t="shared" si="2"/>
        <v>0</v>
      </c>
    </row>
    <row r="49" spans="1:15" s="5" customFormat="1" ht="11.25" x14ac:dyDescent="0.2">
      <c r="A49" s="8" t="s">
        <v>83</v>
      </c>
      <c r="B49" s="99">
        <v>720000</v>
      </c>
      <c r="C49" s="99">
        <v>0</v>
      </c>
      <c r="D49" s="99">
        <v>144000</v>
      </c>
      <c r="E49" s="99">
        <v>0</v>
      </c>
      <c r="F49" s="99">
        <v>0</v>
      </c>
      <c r="G49" s="99">
        <v>144000</v>
      </c>
      <c r="H49" s="99">
        <v>0</v>
      </c>
      <c r="I49" s="7"/>
      <c r="J49" s="7"/>
      <c r="K49" s="7"/>
      <c r="L49" s="7"/>
      <c r="M49" s="7"/>
      <c r="N49" s="7"/>
      <c r="O49" s="95">
        <f t="shared" si="2"/>
        <v>288000</v>
      </c>
    </row>
    <row r="50" spans="1:15" s="5" customFormat="1" ht="11.25" x14ac:dyDescent="0.2">
      <c r="A50" s="8" t="s">
        <v>44</v>
      </c>
      <c r="B50" s="99">
        <v>30000</v>
      </c>
      <c r="C50" s="99">
        <v>1950</v>
      </c>
      <c r="D50" s="99">
        <v>0</v>
      </c>
      <c r="E50" s="99">
        <v>3900</v>
      </c>
      <c r="F50" s="99">
        <v>1950</v>
      </c>
      <c r="G50" s="99">
        <v>1950</v>
      </c>
      <c r="H50" s="99">
        <v>1950</v>
      </c>
      <c r="I50" s="7"/>
      <c r="J50" s="7"/>
      <c r="K50" s="7"/>
      <c r="L50" s="7"/>
      <c r="M50" s="7"/>
      <c r="N50" s="7"/>
      <c r="O50" s="95">
        <f t="shared" si="2"/>
        <v>11700</v>
      </c>
    </row>
    <row r="51" spans="1:15" s="5" customFormat="1" ht="11.25" x14ac:dyDescent="0.2">
      <c r="A51" s="75" t="s">
        <v>45</v>
      </c>
      <c r="B51" s="94">
        <v>132850000</v>
      </c>
      <c r="C51" s="94">
        <v>13439827.93</v>
      </c>
      <c r="D51" s="94">
        <v>9825160.6699999999</v>
      </c>
      <c r="E51" s="94">
        <v>9470027.4600000009</v>
      </c>
      <c r="F51" s="94">
        <v>15022947.99</v>
      </c>
      <c r="G51" s="94">
        <f>+G52+G57</f>
        <v>10979664.880000001</v>
      </c>
      <c r="H51" s="94">
        <f>+H52+H57</f>
        <v>12631893.07</v>
      </c>
      <c r="I51" s="30"/>
      <c r="J51" s="30"/>
      <c r="K51" s="30"/>
      <c r="L51" s="30"/>
      <c r="M51" s="30"/>
      <c r="N51" s="30"/>
      <c r="O51" s="95">
        <f t="shared" si="2"/>
        <v>71369522</v>
      </c>
    </row>
    <row r="52" spans="1:15" s="5" customFormat="1" ht="11.25" x14ac:dyDescent="0.2">
      <c r="A52" s="77" t="s">
        <v>46</v>
      </c>
      <c r="B52" s="100">
        <f>+B53+B57</f>
        <v>132850000</v>
      </c>
      <c r="C52" s="100">
        <f>+C53</f>
        <v>3389972.07</v>
      </c>
      <c r="D52" s="100">
        <f t="shared" ref="D52:F52" si="5">+D53</f>
        <v>2659664.5499999998</v>
      </c>
      <c r="E52" s="100">
        <f t="shared" si="5"/>
        <v>5771063.2000000002</v>
      </c>
      <c r="F52" s="100">
        <f t="shared" si="5"/>
        <v>4521884.79</v>
      </c>
      <c r="G52" s="100">
        <f>+G53</f>
        <v>3854233.49</v>
      </c>
      <c r="H52" s="100">
        <f>+H53</f>
        <v>4253455.7799999993</v>
      </c>
      <c r="I52" s="101"/>
      <c r="J52" s="101"/>
      <c r="K52" s="101"/>
      <c r="L52" s="101"/>
      <c r="M52" s="101"/>
      <c r="N52" s="101"/>
      <c r="O52" s="95">
        <f t="shared" si="2"/>
        <v>24450273.880000003</v>
      </c>
    </row>
    <row r="53" spans="1:15" s="5" customFormat="1" ht="11.25" x14ac:dyDescent="0.2">
      <c r="A53" s="8" t="s">
        <v>47</v>
      </c>
      <c r="B53" s="99">
        <v>39100000</v>
      </c>
      <c r="C53" s="99">
        <f>SUM(C54:C56)</f>
        <v>3389972.07</v>
      </c>
      <c r="D53" s="99">
        <f t="shared" ref="D53:F53" si="6">SUM(D54:D56)</f>
        <v>2659664.5499999998</v>
      </c>
      <c r="E53" s="99">
        <f t="shared" si="6"/>
        <v>5771063.2000000002</v>
      </c>
      <c r="F53" s="99">
        <f t="shared" si="6"/>
        <v>4521884.79</v>
      </c>
      <c r="G53" s="99">
        <f>SUM(G54:G56)</f>
        <v>3854233.49</v>
      </c>
      <c r="H53" s="99">
        <f>SUM(H54:H56)</f>
        <v>4253455.7799999993</v>
      </c>
      <c r="I53" s="7"/>
      <c r="J53" s="7"/>
      <c r="K53" s="7"/>
      <c r="L53" s="7"/>
      <c r="M53" s="7"/>
      <c r="N53" s="7"/>
      <c r="O53" s="95">
        <f t="shared" si="2"/>
        <v>24450273.880000003</v>
      </c>
    </row>
    <row r="54" spans="1:15" s="5" customFormat="1" ht="11.25" x14ac:dyDescent="0.2">
      <c r="A54" s="8" t="s">
        <v>84</v>
      </c>
      <c r="B54" s="99">
        <v>0</v>
      </c>
      <c r="C54" s="99">
        <v>386187.1</v>
      </c>
      <c r="D54" s="99">
        <v>156834.67000000001</v>
      </c>
      <c r="E54" s="99">
        <v>4555562.13</v>
      </c>
      <c r="F54" s="99">
        <v>729672.28</v>
      </c>
      <c r="G54" s="99">
        <v>1116736.57</v>
      </c>
      <c r="H54" s="99">
        <v>2192393.19</v>
      </c>
      <c r="I54" s="7"/>
      <c r="J54" s="7"/>
      <c r="K54" s="7"/>
      <c r="L54" s="7"/>
      <c r="M54" s="7"/>
      <c r="N54" s="7"/>
      <c r="O54" s="95">
        <f t="shared" si="2"/>
        <v>9137385.9400000013</v>
      </c>
    </row>
    <row r="55" spans="1:15" s="5" customFormat="1" ht="11.25" x14ac:dyDescent="0.2">
      <c r="A55" s="8" t="s">
        <v>85</v>
      </c>
      <c r="B55" s="99">
        <v>0</v>
      </c>
      <c r="C55" s="99">
        <v>86519.57</v>
      </c>
      <c r="D55" s="99">
        <v>651517.31999999995</v>
      </c>
      <c r="E55" s="99">
        <v>452934.36</v>
      </c>
      <c r="F55" s="99">
        <v>767847.04</v>
      </c>
      <c r="G55" s="99">
        <v>657145.94999999995</v>
      </c>
      <c r="H55" s="99">
        <v>113572.36</v>
      </c>
      <c r="I55" s="7"/>
      <c r="J55" s="7"/>
      <c r="K55" s="7"/>
      <c r="L55" s="7"/>
      <c r="M55" s="7"/>
      <c r="N55" s="7"/>
      <c r="O55" s="95">
        <f t="shared" si="2"/>
        <v>2729536.6</v>
      </c>
    </row>
    <row r="56" spans="1:15" s="5" customFormat="1" ht="11.25" x14ac:dyDescent="0.2">
      <c r="A56" s="8" t="s">
        <v>86</v>
      </c>
      <c r="B56" s="99">
        <v>0</v>
      </c>
      <c r="C56" s="99">
        <v>2917265.4</v>
      </c>
      <c r="D56" s="99">
        <v>1851312.56</v>
      </c>
      <c r="E56" s="99">
        <v>762566.71</v>
      </c>
      <c r="F56" s="99">
        <v>3024365.47</v>
      </c>
      <c r="G56" s="99">
        <v>2080350.97</v>
      </c>
      <c r="H56" s="99">
        <v>1947490.23</v>
      </c>
      <c r="I56" s="7"/>
      <c r="J56" s="7"/>
      <c r="K56" s="7"/>
      <c r="L56" s="7"/>
      <c r="M56" s="7"/>
      <c r="N56" s="7"/>
      <c r="O56" s="95">
        <f t="shared" si="2"/>
        <v>12583351.340000002</v>
      </c>
    </row>
    <row r="57" spans="1:15" s="5" customFormat="1" ht="11.25" x14ac:dyDescent="0.2">
      <c r="A57" s="37" t="s">
        <v>87</v>
      </c>
      <c r="B57" s="100">
        <f>SUM(B58:B59)</f>
        <v>93750000</v>
      </c>
      <c r="C57" s="100">
        <f t="shared" ref="C57:H57" si="7">SUM(C58:C59)</f>
        <v>10049855.860000001</v>
      </c>
      <c r="D57" s="100">
        <f t="shared" si="7"/>
        <v>7165496.1200000001</v>
      </c>
      <c r="E57" s="100">
        <f t="shared" si="7"/>
        <v>3698964.26</v>
      </c>
      <c r="F57" s="100">
        <f t="shared" si="7"/>
        <v>10501063.200000001</v>
      </c>
      <c r="G57" s="100">
        <f t="shared" si="7"/>
        <v>7125431.3900000006</v>
      </c>
      <c r="H57" s="100">
        <f t="shared" si="7"/>
        <v>8378437.29</v>
      </c>
      <c r="I57" s="101"/>
      <c r="J57" s="101"/>
      <c r="K57" s="101"/>
      <c r="L57" s="101"/>
      <c r="M57" s="101"/>
      <c r="N57" s="101"/>
      <c r="O57" s="95">
        <f t="shared" si="2"/>
        <v>46919248.120000005</v>
      </c>
    </row>
    <row r="58" spans="1:15" s="5" customFormat="1" ht="11.25" x14ac:dyDescent="0.2">
      <c r="A58" s="8" t="s">
        <v>88</v>
      </c>
      <c r="B58" s="99">
        <v>87000000</v>
      </c>
      <c r="C58" s="99">
        <v>9360288.8900000006</v>
      </c>
      <c r="D58" s="99">
        <v>6818116.3300000001</v>
      </c>
      <c r="E58" s="99">
        <v>3253466.77</v>
      </c>
      <c r="F58" s="99">
        <v>9118823.1400000006</v>
      </c>
      <c r="G58" s="99">
        <v>6147973.1200000001</v>
      </c>
      <c r="H58" s="99">
        <v>7766619.3300000001</v>
      </c>
      <c r="I58" s="7"/>
      <c r="J58" s="7"/>
      <c r="K58" s="7"/>
      <c r="L58" s="7"/>
      <c r="M58" s="7"/>
      <c r="N58" s="7"/>
      <c r="O58" s="95">
        <f t="shared" si="2"/>
        <v>42465287.579999998</v>
      </c>
    </row>
    <row r="59" spans="1:15" s="5" customFormat="1" ht="11.25" x14ac:dyDescent="0.2">
      <c r="A59" s="8" t="s">
        <v>89</v>
      </c>
      <c r="B59" s="99">
        <v>6750000</v>
      </c>
      <c r="C59" s="99">
        <v>689566.97</v>
      </c>
      <c r="D59" s="99">
        <v>347379.79</v>
      </c>
      <c r="E59" s="99">
        <v>445497.49</v>
      </c>
      <c r="F59" s="99">
        <v>1382240.06</v>
      </c>
      <c r="G59" s="99">
        <v>977458.27</v>
      </c>
      <c r="H59" s="99">
        <v>611817.96</v>
      </c>
      <c r="I59" s="7"/>
      <c r="J59" s="7"/>
      <c r="K59" s="7"/>
      <c r="L59" s="7"/>
      <c r="M59" s="7"/>
      <c r="N59" s="7"/>
      <c r="O59" s="95">
        <f t="shared" si="2"/>
        <v>4453960.54</v>
      </c>
    </row>
    <row r="60" spans="1:15" s="5" customFormat="1" ht="11.25" x14ac:dyDescent="0.2">
      <c r="A60" s="75" t="s">
        <v>48</v>
      </c>
      <c r="B60" s="94">
        <v>0</v>
      </c>
      <c r="C60" s="94">
        <v>0</v>
      </c>
      <c r="D60" s="94">
        <v>0</v>
      </c>
      <c r="E60" s="94">
        <v>0</v>
      </c>
      <c r="F60" s="94">
        <v>0</v>
      </c>
      <c r="G60" s="94"/>
      <c r="H60" s="94">
        <v>0</v>
      </c>
      <c r="I60" s="30"/>
      <c r="J60" s="30"/>
      <c r="K60" s="30"/>
      <c r="L60" s="30"/>
      <c r="M60" s="30"/>
      <c r="N60" s="30"/>
      <c r="O60" s="95">
        <f t="shared" si="2"/>
        <v>0</v>
      </c>
    </row>
    <row r="61" spans="1:15" s="5" customFormat="1" ht="11.25" x14ac:dyDescent="0.2">
      <c r="A61" s="8" t="s">
        <v>49</v>
      </c>
      <c r="B61" s="99">
        <v>0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7"/>
      <c r="J61" s="7"/>
      <c r="K61" s="7"/>
      <c r="L61" s="7"/>
      <c r="M61" s="7"/>
      <c r="N61" s="7"/>
      <c r="O61" s="95">
        <f t="shared" si="2"/>
        <v>0</v>
      </c>
    </row>
    <row r="62" spans="1:15" s="5" customFormat="1" ht="11.25" x14ac:dyDescent="0.2">
      <c r="A62" s="75" t="s">
        <v>50</v>
      </c>
      <c r="B62" s="94">
        <f>+B63</f>
        <v>5000000</v>
      </c>
      <c r="C62" s="94">
        <f t="shared" ref="C62:H62" si="8">+C63</f>
        <v>28828</v>
      </c>
      <c r="D62" s="94">
        <f t="shared" si="8"/>
        <v>7658</v>
      </c>
      <c r="E62" s="94">
        <f t="shared" si="8"/>
        <v>190060.32</v>
      </c>
      <c r="F62" s="94">
        <f t="shared" si="8"/>
        <v>12309</v>
      </c>
      <c r="G62" s="94">
        <f t="shared" si="8"/>
        <v>1034203</v>
      </c>
      <c r="H62" s="94">
        <f t="shared" si="8"/>
        <v>12048</v>
      </c>
      <c r="I62" s="30"/>
      <c r="J62" s="30"/>
      <c r="K62" s="30"/>
      <c r="L62" s="30"/>
      <c r="M62" s="30"/>
      <c r="N62" s="30"/>
      <c r="O62" s="95">
        <f>SUM(C62:N62)</f>
        <v>1285106.32</v>
      </c>
    </row>
    <row r="63" spans="1:15" s="5" customFormat="1" ht="11.25" x14ac:dyDescent="0.2">
      <c r="A63" s="8" t="s">
        <v>51</v>
      </c>
      <c r="B63" s="99">
        <f>SUM(B64:B69)</f>
        <v>5000000</v>
      </c>
      <c r="C63" s="99">
        <f>+C64</f>
        <v>28828</v>
      </c>
      <c r="D63" s="99">
        <f>+D64</f>
        <v>7658</v>
      </c>
      <c r="E63" s="99">
        <f>+E64</f>
        <v>190060.32</v>
      </c>
      <c r="F63" s="99">
        <f>+F64</f>
        <v>12309</v>
      </c>
      <c r="G63" s="99">
        <f>+G64+G70</f>
        <v>1034203</v>
      </c>
      <c r="H63" s="99">
        <f>+H64+H70</f>
        <v>12048</v>
      </c>
      <c r="I63" s="7"/>
      <c r="J63" s="7"/>
      <c r="K63" s="7"/>
      <c r="L63" s="7"/>
      <c r="M63" s="7"/>
      <c r="N63" s="7"/>
      <c r="O63" s="95">
        <f t="shared" ref="O63:O70" si="9">SUM(C63:N63)</f>
        <v>1285106.32</v>
      </c>
    </row>
    <row r="64" spans="1:15" s="5" customFormat="1" ht="11.25" x14ac:dyDescent="0.2">
      <c r="A64" s="8" t="s">
        <v>90</v>
      </c>
      <c r="B64" s="99">
        <v>5000000</v>
      </c>
      <c r="C64" s="99">
        <v>28828</v>
      </c>
      <c r="D64" s="99">
        <v>7658</v>
      </c>
      <c r="E64" s="99">
        <v>190060.32</v>
      </c>
      <c r="F64" s="99">
        <v>12309</v>
      </c>
      <c r="G64" s="99">
        <f>+G65+G66+G67</f>
        <v>34203</v>
      </c>
      <c r="H64" s="99">
        <f>+H65+H66+H67</f>
        <v>12048</v>
      </c>
      <c r="I64" s="7"/>
      <c r="J64" s="7"/>
      <c r="K64" s="7"/>
      <c r="L64" s="7"/>
      <c r="M64" s="7"/>
      <c r="N64" s="7"/>
      <c r="O64" s="95">
        <f t="shared" si="9"/>
        <v>285106.32</v>
      </c>
    </row>
    <row r="65" spans="1:15" s="5" customFormat="1" ht="11.25" x14ac:dyDescent="0.2">
      <c r="A65" s="8" t="s">
        <v>91</v>
      </c>
      <c r="B65" s="99">
        <v>0</v>
      </c>
      <c r="C65" s="99">
        <v>20100</v>
      </c>
      <c r="D65" s="99">
        <v>0</v>
      </c>
      <c r="E65" s="99">
        <v>0</v>
      </c>
      <c r="F65" s="99">
        <v>0</v>
      </c>
      <c r="G65" s="99">
        <v>20645</v>
      </c>
      <c r="H65" s="99"/>
      <c r="I65" s="7"/>
      <c r="J65" s="7"/>
      <c r="K65" s="7"/>
      <c r="L65" s="7"/>
      <c r="M65" s="7"/>
      <c r="N65" s="7"/>
      <c r="O65" s="95">
        <f t="shared" si="9"/>
        <v>40745</v>
      </c>
    </row>
    <row r="66" spans="1:15" s="5" customFormat="1" ht="11.25" x14ac:dyDescent="0.2">
      <c r="A66" s="8" t="s">
        <v>92</v>
      </c>
      <c r="B66" s="99">
        <v>0</v>
      </c>
      <c r="C66" s="99">
        <v>0</v>
      </c>
      <c r="D66" s="99">
        <v>0</v>
      </c>
      <c r="E66" s="99">
        <v>100000</v>
      </c>
      <c r="F66" s="99">
        <v>0</v>
      </c>
      <c r="G66" s="99">
        <v>0</v>
      </c>
      <c r="H66" s="99"/>
      <c r="I66" s="7"/>
      <c r="J66" s="7"/>
      <c r="K66" s="7"/>
      <c r="L66" s="7"/>
      <c r="M66" s="7"/>
      <c r="N66" s="7"/>
      <c r="O66" s="95">
        <f t="shared" si="9"/>
        <v>100000</v>
      </c>
    </row>
    <row r="67" spans="1:15" s="5" customFormat="1" ht="11.25" x14ac:dyDescent="0.2">
      <c r="A67" s="8" t="s">
        <v>93</v>
      </c>
      <c r="B67" s="99">
        <v>0</v>
      </c>
      <c r="C67" s="99">
        <v>8728</v>
      </c>
      <c r="D67" s="99">
        <v>7658</v>
      </c>
      <c r="E67" s="99">
        <v>9390</v>
      </c>
      <c r="F67" s="99">
        <v>12309</v>
      </c>
      <c r="G67" s="99">
        <v>13558</v>
      </c>
      <c r="H67" s="99">
        <v>12048</v>
      </c>
      <c r="I67" s="7"/>
      <c r="J67" s="7"/>
      <c r="K67" s="7"/>
      <c r="L67" s="7"/>
      <c r="M67" s="7"/>
      <c r="N67" s="7"/>
      <c r="O67" s="95">
        <f t="shared" si="9"/>
        <v>63691</v>
      </c>
    </row>
    <row r="68" spans="1:15" x14ac:dyDescent="0.2">
      <c r="A68" s="8" t="s">
        <v>52</v>
      </c>
      <c r="B68" s="102">
        <v>0</v>
      </c>
      <c r="C68" s="102">
        <v>0</v>
      </c>
      <c r="D68" s="102">
        <v>0</v>
      </c>
      <c r="E68" s="102">
        <v>39775.199999999997</v>
      </c>
      <c r="F68" s="102">
        <v>0</v>
      </c>
      <c r="G68" s="102"/>
      <c r="H68" s="102"/>
      <c r="I68" s="103"/>
      <c r="J68" s="103"/>
      <c r="K68" s="103"/>
      <c r="L68" s="103"/>
      <c r="M68" s="103"/>
      <c r="N68" s="103"/>
      <c r="O68" s="95">
        <f t="shared" si="9"/>
        <v>39775.199999999997</v>
      </c>
    </row>
    <row r="69" spans="1:15" x14ac:dyDescent="0.2">
      <c r="A69" s="8" t="s">
        <v>94</v>
      </c>
      <c r="B69" s="102">
        <v>0</v>
      </c>
      <c r="C69" s="102">
        <v>0</v>
      </c>
      <c r="D69" s="102">
        <v>0</v>
      </c>
      <c r="E69" s="102">
        <v>40895.120000000003</v>
      </c>
      <c r="F69" s="102">
        <v>0</v>
      </c>
      <c r="G69" s="102"/>
      <c r="H69" s="102"/>
      <c r="I69" s="103"/>
      <c r="J69" s="103"/>
      <c r="K69" s="103"/>
      <c r="L69" s="103"/>
      <c r="M69" s="103"/>
      <c r="N69" s="103"/>
      <c r="O69" s="95">
        <f t="shared" si="9"/>
        <v>40895.120000000003</v>
      </c>
    </row>
    <row r="70" spans="1:15" x14ac:dyDescent="0.2">
      <c r="A70" s="8" t="s">
        <v>193</v>
      </c>
      <c r="B70" s="102"/>
      <c r="C70" s="102"/>
      <c r="D70" s="102"/>
      <c r="E70" s="102"/>
      <c r="F70" s="102"/>
      <c r="G70" s="99">
        <v>1000000</v>
      </c>
      <c r="H70" s="102"/>
      <c r="I70" s="103"/>
      <c r="J70" s="103"/>
      <c r="K70" s="103"/>
      <c r="L70" s="103"/>
      <c r="M70" s="103"/>
      <c r="N70" s="103"/>
      <c r="O70" s="95">
        <f t="shared" si="9"/>
        <v>1000000</v>
      </c>
    </row>
    <row r="71" spans="1:15" x14ac:dyDescent="0.2">
      <c r="A71" s="78" t="s">
        <v>53</v>
      </c>
      <c r="B71" s="104">
        <f>+B8+B62</f>
        <v>260960000</v>
      </c>
      <c r="C71" s="104">
        <f t="shared" ref="C71:H71" si="10">+C8+C62</f>
        <v>23772909.469999999</v>
      </c>
      <c r="D71" s="104">
        <f t="shared" si="10"/>
        <v>18793225.229999997</v>
      </c>
      <c r="E71" s="104">
        <f t="shared" si="10"/>
        <v>19251801.420000002</v>
      </c>
      <c r="F71" s="104">
        <f t="shared" si="10"/>
        <v>25756313.939999998</v>
      </c>
      <c r="G71" s="104">
        <f t="shared" si="10"/>
        <v>22304043.149999999</v>
      </c>
      <c r="H71" s="104">
        <f t="shared" si="10"/>
        <v>24097960.020000003</v>
      </c>
      <c r="I71" s="105"/>
      <c r="J71" s="105"/>
      <c r="K71" s="105"/>
      <c r="L71" s="105"/>
      <c r="M71" s="105"/>
      <c r="N71" s="105"/>
      <c r="O71" s="95">
        <f t="shared" si="2"/>
        <v>133976253.23000002</v>
      </c>
    </row>
    <row r="72" spans="1:15" x14ac:dyDescent="0.2">
      <c r="A72" s="5"/>
    </row>
    <row r="73" spans="1:15" x14ac:dyDescent="0.2">
      <c r="A73" s="5"/>
    </row>
    <row r="74" spans="1:15" x14ac:dyDescent="0.2">
      <c r="A74" s="5"/>
    </row>
    <row r="75" spans="1:15" x14ac:dyDescent="0.2">
      <c r="A75" s="5"/>
    </row>
    <row r="76" spans="1:15" x14ac:dyDescent="0.2">
      <c r="A76" s="5"/>
    </row>
    <row r="77" spans="1:15" x14ac:dyDescent="0.2">
      <c r="A77" s="5"/>
    </row>
    <row r="78" spans="1:15" x14ac:dyDescent="0.2">
      <c r="A78" s="5"/>
    </row>
  </sheetData>
  <sheetProtection algorithmName="SHA-512" hashValue="4NmlYdcr7hCMAewER/fN0M2V8UNQSZxUMU4/uGnioo3twes+UvqXxSUsSHh/6ckew4TrkQoYobIMDDW7ujdJ6Q==" saltValue="Slc2rUJcyjQrneJZBtn3bQ==" spinCount="100000" sheet="1" objects="1" scenarios="1"/>
  <mergeCells count="1">
    <mergeCell ref="C1:E1"/>
  </mergeCells>
  <hyperlinks>
    <hyperlink ref="C1:E1" location="INDICE!A1" display="VOLVER INDICE"/>
  </hyperlinks>
  <pageMargins left="0.7" right="0.7" top="0.75" bottom="0.75" header="0.3" footer="0.3"/>
  <pageSetup paperSize="9" scale="66" fitToWidth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P119"/>
  <sheetViews>
    <sheetView zoomScale="82" zoomScaleNormal="82" workbookViewId="0">
      <selection activeCell="G1" sqref="G1:J1"/>
    </sheetView>
  </sheetViews>
  <sheetFormatPr defaultColWidth="16.42578125" defaultRowHeight="15" x14ac:dyDescent="0.25"/>
  <cols>
    <col min="1" max="1" width="47.7109375" bestFit="1" customWidth="1"/>
    <col min="2" max="2" width="19.28515625" customWidth="1"/>
    <col min="8" max="8" width="17.28515625" customWidth="1"/>
    <col min="9" max="14" width="8.42578125" customWidth="1"/>
  </cols>
  <sheetData>
    <row r="1" spans="1:15" s="9" customFormat="1" ht="78" customHeight="1" x14ac:dyDescent="0.4">
      <c r="A1" s="171" t="s">
        <v>268</v>
      </c>
      <c r="G1" s="210" t="s">
        <v>150</v>
      </c>
      <c r="H1" s="210"/>
      <c r="I1" s="210"/>
      <c r="J1" s="210"/>
      <c r="K1"/>
    </row>
    <row r="2" spans="1:15" ht="15.75" thickBot="1" x14ac:dyDescent="0.3">
      <c r="A2" s="10" t="s">
        <v>54</v>
      </c>
      <c r="B2" s="17" t="s">
        <v>68</v>
      </c>
      <c r="C2" s="17" t="s">
        <v>69</v>
      </c>
      <c r="D2" s="17" t="s">
        <v>70</v>
      </c>
      <c r="E2" s="17" t="s">
        <v>71</v>
      </c>
      <c r="F2" s="17" t="s">
        <v>73</v>
      </c>
      <c r="G2" s="47" t="s">
        <v>74</v>
      </c>
      <c r="H2" s="47" t="s">
        <v>75</v>
      </c>
      <c r="I2" s="47" t="s">
        <v>76</v>
      </c>
      <c r="J2" s="47" t="s">
        <v>77</v>
      </c>
      <c r="K2" s="47" t="s">
        <v>189</v>
      </c>
      <c r="L2" s="47" t="s">
        <v>79</v>
      </c>
      <c r="M2" s="47" t="s">
        <v>80</v>
      </c>
      <c r="N2" s="47" t="s">
        <v>81</v>
      </c>
      <c r="O2" s="47" t="s">
        <v>188</v>
      </c>
    </row>
    <row r="3" spans="1:15" x14ac:dyDescent="0.25">
      <c r="G3" s="83"/>
    </row>
    <row r="4" spans="1:15" x14ac:dyDescent="0.25">
      <c r="A4" s="24" t="s">
        <v>55</v>
      </c>
      <c r="B4" s="25">
        <f>+B5+B42+B44+B58</f>
        <v>190870000</v>
      </c>
      <c r="C4" s="25">
        <f t="shared" ref="C4:N4" si="0">+C5+C42+C44</f>
        <v>10260968.17</v>
      </c>
      <c r="D4" s="25">
        <f t="shared" si="0"/>
        <v>13142320.229999999</v>
      </c>
      <c r="E4" s="25">
        <f t="shared" si="0"/>
        <v>14976118.510000002</v>
      </c>
      <c r="F4" s="25">
        <f t="shared" si="0"/>
        <v>15780008.98</v>
      </c>
      <c r="G4" s="25">
        <f t="shared" si="0"/>
        <v>15422990.369999999</v>
      </c>
      <c r="H4" s="25">
        <f t="shared" si="0"/>
        <v>20062402.660000004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25">
        <f t="shared" si="0"/>
        <v>0</v>
      </c>
      <c r="O4" s="25">
        <f>SUM(C4:N4)</f>
        <v>89644808.920000017</v>
      </c>
    </row>
    <row r="5" spans="1:15" x14ac:dyDescent="0.25">
      <c r="A5" s="13" t="s">
        <v>56</v>
      </c>
      <c r="B5" s="26">
        <f t="shared" ref="B5:N5" si="1">+B6+B39</f>
        <v>159630000</v>
      </c>
      <c r="C5" s="26">
        <f t="shared" si="1"/>
        <v>10152751.140000001</v>
      </c>
      <c r="D5" s="26">
        <f t="shared" si="1"/>
        <v>12999892.149999999</v>
      </c>
      <c r="E5" s="26">
        <f t="shared" si="1"/>
        <v>14678161.430000002</v>
      </c>
      <c r="F5" s="26">
        <f t="shared" si="1"/>
        <v>15501318.48</v>
      </c>
      <c r="G5" s="26">
        <f t="shared" si="1"/>
        <v>14951418.33</v>
      </c>
      <c r="H5" s="26">
        <f t="shared" si="1"/>
        <v>19608266.470000003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26">
        <f t="shared" si="1"/>
        <v>0</v>
      </c>
      <c r="O5" s="25">
        <f t="shared" ref="O5:O59" si="2">SUM(C5:N5)</f>
        <v>87891808</v>
      </c>
    </row>
    <row r="6" spans="1:15" x14ac:dyDescent="0.25">
      <c r="A6" s="27" t="s">
        <v>192</v>
      </c>
      <c r="B6" s="28">
        <f>+B7+B16+B24+B25+B26+B27+B29+B33+B34</f>
        <v>99500000</v>
      </c>
      <c r="C6" s="28">
        <f>+C7+C16+C24+C25+C26+C27+C29+C33+C34</f>
        <v>8164768.0900000008</v>
      </c>
      <c r="D6" s="28">
        <f>+D7+D16+D24+D25+D26+D27+D29+D33+D34</f>
        <v>8550906.6199999992</v>
      </c>
      <c r="E6" s="28">
        <f>+E7+E16+E24+E25+E26+E27+E29+E33+E34</f>
        <v>8887585.9400000013</v>
      </c>
      <c r="F6" s="28">
        <f>+F7+F16+F24+F25+F26+F27+F29+F33+F34</f>
        <v>8826747.0600000005</v>
      </c>
      <c r="G6" s="28">
        <f>+G7+G16+G24+G25+G26+G27+G33+G34+IG32+G29</f>
        <v>8917169.8100000005</v>
      </c>
      <c r="H6" s="28">
        <f>+H7+H16+H24+H25+H26+H27+H29+H33+H34+H28</f>
        <v>11679895.920000002</v>
      </c>
      <c r="I6" s="28">
        <f t="shared" ref="I6:N6" si="3">+I7+I16+I24+I25+I26+I27+I29+I33+I34</f>
        <v>0</v>
      </c>
      <c r="J6" s="28">
        <f t="shared" si="3"/>
        <v>0</v>
      </c>
      <c r="K6" s="28">
        <f t="shared" si="3"/>
        <v>0</v>
      </c>
      <c r="L6" s="28">
        <f t="shared" si="3"/>
        <v>0</v>
      </c>
      <c r="M6" s="28">
        <f t="shared" si="3"/>
        <v>0</v>
      </c>
      <c r="N6" s="28">
        <f t="shared" si="3"/>
        <v>0</v>
      </c>
      <c r="O6" s="25">
        <f t="shared" si="2"/>
        <v>55027073.440000005</v>
      </c>
    </row>
    <row r="7" spans="1:15" x14ac:dyDescent="0.25">
      <c r="A7" s="14" t="s">
        <v>57</v>
      </c>
      <c r="B7" s="23">
        <f>+B8+B9+B15</f>
        <v>57240000</v>
      </c>
      <c r="C7" s="23">
        <f t="shared" ref="C7:N7" si="4">+C8+C9+C15</f>
        <v>4823961.4400000004</v>
      </c>
      <c r="D7" s="23">
        <f t="shared" si="4"/>
        <v>4683398.37</v>
      </c>
      <c r="E7" s="23">
        <f t="shared" si="4"/>
        <v>5293176.6800000006</v>
      </c>
      <c r="F7" s="23">
        <f t="shared" si="4"/>
        <v>5279484.87</v>
      </c>
      <c r="G7" s="23">
        <f t="shared" si="4"/>
        <v>5241935.45</v>
      </c>
      <c r="H7" s="23">
        <v>7861728.79</v>
      </c>
      <c r="I7" s="23">
        <f t="shared" si="4"/>
        <v>0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5">
        <f t="shared" si="2"/>
        <v>33183685.600000001</v>
      </c>
    </row>
    <row r="8" spans="1:15" x14ac:dyDescent="0.25">
      <c r="A8" s="14" t="s">
        <v>58</v>
      </c>
      <c r="B8" s="23">
        <v>30000000</v>
      </c>
      <c r="C8" s="23">
        <v>2679402.91</v>
      </c>
      <c r="D8" s="23">
        <v>2669861.4900000002</v>
      </c>
      <c r="E8" s="23">
        <v>2998286.99</v>
      </c>
      <c r="F8" s="23">
        <v>2978329.01</v>
      </c>
      <c r="G8" s="23">
        <v>2954241.9</v>
      </c>
      <c r="H8" s="23">
        <v>2957661.24</v>
      </c>
      <c r="I8" s="23"/>
      <c r="J8" s="23"/>
      <c r="K8" s="23"/>
      <c r="L8" s="23"/>
      <c r="M8" s="23"/>
      <c r="N8" s="23"/>
      <c r="O8" s="25">
        <f t="shared" si="2"/>
        <v>17237783.539999999</v>
      </c>
    </row>
    <row r="9" spans="1:15" x14ac:dyDescent="0.25">
      <c r="A9" s="14" t="s">
        <v>59</v>
      </c>
      <c r="B9" s="23">
        <f>SUM(B10:B14)</f>
        <v>22840000</v>
      </c>
      <c r="C9" s="23">
        <f t="shared" ref="C9:F9" si="5">SUM(C10:C14)</f>
        <v>2144558.5300000003</v>
      </c>
      <c r="D9" s="23">
        <f t="shared" si="5"/>
        <v>2013536.88</v>
      </c>
      <c r="E9" s="23">
        <f t="shared" si="5"/>
        <v>2288615.08</v>
      </c>
      <c r="F9" s="23">
        <f t="shared" si="5"/>
        <v>2301155.8600000003</v>
      </c>
      <c r="G9" s="23">
        <v>2270477.61</v>
      </c>
      <c r="H9" s="23">
        <f>SUM(H10:H14)</f>
        <v>2242298.6600000006</v>
      </c>
      <c r="I9" s="23"/>
      <c r="J9" s="23"/>
      <c r="K9" s="23"/>
      <c r="L9" s="23"/>
      <c r="M9" s="23"/>
      <c r="N9" s="23"/>
      <c r="O9" s="25">
        <f t="shared" si="2"/>
        <v>13260642.620000001</v>
      </c>
    </row>
    <row r="10" spans="1:15" x14ac:dyDescent="0.25">
      <c r="A10" s="14" t="s">
        <v>60</v>
      </c>
      <c r="B10" s="23">
        <v>13980000</v>
      </c>
      <c r="C10" s="23">
        <v>1174147.6000000001</v>
      </c>
      <c r="D10" s="23">
        <v>1178818.32</v>
      </c>
      <c r="E10" s="23">
        <v>1328797.07</v>
      </c>
      <c r="F10" s="23">
        <v>1352391.1</v>
      </c>
      <c r="G10" s="23">
        <v>1330534.6399999999</v>
      </c>
      <c r="H10" s="23">
        <v>1314811.0900000001</v>
      </c>
      <c r="I10" s="23"/>
      <c r="J10" s="23"/>
      <c r="K10" s="23"/>
      <c r="L10" s="23"/>
      <c r="M10" s="23"/>
      <c r="N10" s="23"/>
      <c r="O10" s="25">
        <f t="shared" si="2"/>
        <v>7679499.8199999994</v>
      </c>
    </row>
    <row r="11" spans="1:15" x14ac:dyDescent="0.25">
      <c r="A11" s="14" t="s">
        <v>61</v>
      </c>
      <c r="B11" s="23">
        <v>1950000</v>
      </c>
      <c r="C11" s="23">
        <v>201492.18</v>
      </c>
      <c r="D11" s="23">
        <v>198381.57</v>
      </c>
      <c r="E11" s="23">
        <v>221938.44</v>
      </c>
      <c r="F11" s="23">
        <v>220430.39</v>
      </c>
      <c r="G11" s="23">
        <v>217952.18</v>
      </c>
      <c r="H11" s="23">
        <v>216191.35999999999</v>
      </c>
      <c r="I11" s="23"/>
      <c r="J11" s="23"/>
      <c r="K11" s="23"/>
      <c r="L11" s="23"/>
      <c r="M11" s="23"/>
      <c r="N11" s="23"/>
      <c r="O11" s="25">
        <f t="shared" si="2"/>
        <v>1276386.1200000001</v>
      </c>
    </row>
    <row r="12" spans="1:15" x14ac:dyDescent="0.25">
      <c r="A12" s="14" t="s">
        <v>62</v>
      </c>
      <c r="B12" s="23">
        <v>2500000</v>
      </c>
      <c r="C12" s="23">
        <v>331428.27</v>
      </c>
      <c r="D12" s="23">
        <v>188535.17</v>
      </c>
      <c r="E12" s="23">
        <v>214923</v>
      </c>
      <c r="F12" s="23">
        <v>214923</v>
      </c>
      <c r="G12" s="23">
        <v>214923</v>
      </c>
      <c r="H12" s="23">
        <v>208625</v>
      </c>
      <c r="I12" s="23"/>
      <c r="J12" s="23"/>
      <c r="K12" s="23"/>
      <c r="L12" s="23"/>
      <c r="M12" s="23"/>
      <c r="N12" s="23"/>
      <c r="O12" s="25">
        <f t="shared" si="2"/>
        <v>1373357.44</v>
      </c>
    </row>
    <row r="13" spans="1:15" x14ac:dyDescent="0.25">
      <c r="A13" s="14" t="s">
        <v>95</v>
      </c>
      <c r="B13" s="23">
        <v>3950000</v>
      </c>
      <c r="C13" s="23">
        <v>376278.81</v>
      </c>
      <c r="D13" s="23">
        <v>386228.38</v>
      </c>
      <c r="E13" s="23">
        <v>453928.98</v>
      </c>
      <c r="F13" s="23">
        <v>444348.43</v>
      </c>
      <c r="G13" s="23">
        <v>438374.34</v>
      </c>
      <c r="H13" s="23">
        <v>434971.49</v>
      </c>
      <c r="I13" s="23"/>
      <c r="J13" s="23"/>
      <c r="K13" s="23"/>
      <c r="L13" s="23"/>
      <c r="M13" s="23"/>
      <c r="N13" s="23"/>
      <c r="O13" s="25">
        <f t="shared" si="2"/>
        <v>2534130.4299999997</v>
      </c>
    </row>
    <row r="14" spans="1:15" x14ac:dyDescent="0.25">
      <c r="A14" s="14" t="s">
        <v>63</v>
      </c>
      <c r="B14" s="23">
        <v>460000</v>
      </c>
      <c r="C14" s="23">
        <v>61211.67</v>
      </c>
      <c r="D14" s="23">
        <v>61573.440000000002</v>
      </c>
      <c r="E14" s="23">
        <v>69027.59</v>
      </c>
      <c r="F14" s="23">
        <v>69062.94</v>
      </c>
      <c r="G14" s="23">
        <v>68693.45</v>
      </c>
      <c r="H14" s="23">
        <v>67699.72</v>
      </c>
      <c r="I14" s="23"/>
      <c r="J14" s="23"/>
      <c r="K14" s="23"/>
      <c r="L14" s="23"/>
      <c r="M14" s="23"/>
      <c r="N14" s="23"/>
      <c r="O14" s="25">
        <f t="shared" si="2"/>
        <v>397268.81000000006</v>
      </c>
    </row>
    <row r="15" spans="1:15" x14ac:dyDescent="0.25">
      <c r="A15" s="22" t="s">
        <v>96</v>
      </c>
      <c r="B15" s="23">
        <v>4400000</v>
      </c>
      <c r="C15" s="23">
        <v>0</v>
      </c>
      <c r="D15" s="23">
        <v>0</v>
      </c>
      <c r="E15" s="23">
        <v>6274.61</v>
      </c>
      <c r="F15" s="23">
        <v>0</v>
      </c>
      <c r="G15" s="23">
        <v>17215.939999999999</v>
      </c>
      <c r="H15" s="23">
        <v>2660752.89</v>
      </c>
      <c r="I15" s="23"/>
      <c r="J15" s="23"/>
      <c r="K15" s="23"/>
      <c r="L15" s="23"/>
      <c r="M15" s="23"/>
      <c r="N15" s="23"/>
      <c r="O15" s="25">
        <f t="shared" si="2"/>
        <v>2684243.44</v>
      </c>
    </row>
    <row r="16" spans="1:15" x14ac:dyDescent="0.25">
      <c r="A16" s="14" t="s">
        <v>97</v>
      </c>
      <c r="B16" s="23">
        <f>+B17+B18+B23</f>
        <v>6360000</v>
      </c>
      <c r="C16" s="23">
        <f t="shared" ref="C16:N16" si="6">+C17+C18+C23</f>
        <v>317333.52999999997</v>
      </c>
      <c r="D16" s="23">
        <f t="shared" si="6"/>
        <v>309040.28000000003</v>
      </c>
      <c r="E16" s="23">
        <f t="shared" si="6"/>
        <v>354177.87</v>
      </c>
      <c r="F16" s="23">
        <f t="shared" si="6"/>
        <v>343497.06999999995</v>
      </c>
      <c r="G16" s="23">
        <f t="shared" si="6"/>
        <v>335600.36</v>
      </c>
      <c r="H16" s="23">
        <f t="shared" si="6"/>
        <v>529049.51</v>
      </c>
      <c r="I16" s="23">
        <f t="shared" si="6"/>
        <v>0</v>
      </c>
      <c r="J16" s="23">
        <f t="shared" si="6"/>
        <v>0</v>
      </c>
      <c r="K16" s="23">
        <f t="shared" si="6"/>
        <v>0</v>
      </c>
      <c r="L16" s="23">
        <f t="shared" si="6"/>
        <v>0</v>
      </c>
      <c r="M16" s="23">
        <f t="shared" si="6"/>
        <v>0</v>
      </c>
      <c r="N16" s="23">
        <f t="shared" si="6"/>
        <v>0</v>
      </c>
      <c r="O16" s="25">
        <f t="shared" si="2"/>
        <v>2188698.62</v>
      </c>
    </row>
    <row r="17" spans="1:15" x14ac:dyDescent="0.25">
      <c r="A17" s="14" t="s">
        <v>98</v>
      </c>
      <c r="B17" s="23">
        <v>5165000</v>
      </c>
      <c r="C17" s="23">
        <v>249867.74</v>
      </c>
      <c r="D17" s="23">
        <v>242172.63</v>
      </c>
      <c r="E17" s="23">
        <v>277576.40000000002</v>
      </c>
      <c r="F17" s="23">
        <v>263840.40999999997</v>
      </c>
      <c r="G17" s="23">
        <v>258345.66</v>
      </c>
      <c r="H17" s="23">
        <v>271250.78000000003</v>
      </c>
      <c r="I17" s="23"/>
      <c r="J17" s="23"/>
      <c r="K17" s="23"/>
      <c r="L17" s="23"/>
      <c r="M17" s="23"/>
      <c r="N17" s="23"/>
      <c r="O17" s="25">
        <f t="shared" si="2"/>
        <v>1563053.6199999999</v>
      </c>
    </row>
    <row r="18" spans="1:15" x14ac:dyDescent="0.25">
      <c r="A18" s="14" t="s">
        <v>99</v>
      </c>
      <c r="B18" s="23">
        <f>SUM(B19:B22)</f>
        <v>695000</v>
      </c>
      <c r="C18" s="23">
        <f t="shared" ref="C18:F18" si="7">SUM(C19:C22)</f>
        <v>66802.459999999992</v>
      </c>
      <c r="D18" s="23">
        <f t="shared" si="7"/>
        <v>66867.649999999994</v>
      </c>
      <c r="E18" s="23">
        <f t="shared" si="7"/>
        <v>74639.3</v>
      </c>
      <c r="F18" s="23">
        <f t="shared" si="7"/>
        <v>78461.3</v>
      </c>
      <c r="G18" s="23">
        <v>77254.7</v>
      </c>
      <c r="H18" s="23">
        <v>88902.7</v>
      </c>
      <c r="I18" s="23"/>
      <c r="J18" s="23"/>
      <c r="K18" s="23"/>
      <c r="L18" s="23"/>
      <c r="M18" s="23"/>
      <c r="N18" s="23"/>
      <c r="O18" s="25">
        <f t="shared" si="2"/>
        <v>452928.11</v>
      </c>
    </row>
    <row r="19" spans="1:15" x14ac:dyDescent="0.25">
      <c r="A19" s="14" t="s">
        <v>100</v>
      </c>
      <c r="B19" s="23">
        <v>350000</v>
      </c>
      <c r="C19" s="23">
        <v>7356.93</v>
      </c>
      <c r="D19" s="23">
        <v>7716.12</v>
      </c>
      <c r="E19" s="23">
        <v>9555</v>
      </c>
      <c r="F19" s="23">
        <v>12285</v>
      </c>
      <c r="G19" s="23">
        <v>12898.4</v>
      </c>
      <c r="H19" s="23">
        <v>13808.4</v>
      </c>
      <c r="I19" s="23"/>
      <c r="J19" s="23"/>
      <c r="K19" s="23"/>
      <c r="L19" s="23"/>
      <c r="M19" s="23"/>
      <c r="N19" s="23"/>
      <c r="O19" s="25">
        <f t="shared" si="2"/>
        <v>63619.850000000006</v>
      </c>
    </row>
    <row r="20" spans="1:15" x14ac:dyDescent="0.25">
      <c r="A20" s="14" t="s">
        <v>101</v>
      </c>
      <c r="B20" s="23">
        <v>220000</v>
      </c>
      <c r="C20" s="23">
        <v>22925.79</v>
      </c>
      <c r="D20" s="23">
        <v>21482.37</v>
      </c>
      <c r="E20" s="23">
        <v>23960.25</v>
      </c>
      <c r="F20" s="23">
        <v>23960.25</v>
      </c>
      <c r="G20" s="23">
        <v>23960.25</v>
      </c>
      <c r="H20" s="23">
        <v>23960.25</v>
      </c>
      <c r="I20" s="23"/>
      <c r="J20" s="23"/>
      <c r="K20" s="23"/>
      <c r="L20" s="23"/>
      <c r="M20" s="23"/>
      <c r="N20" s="23"/>
      <c r="O20" s="25">
        <f t="shared" si="2"/>
        <v>140249.16</v>
      </c>
    </row>
    <row r="21" spans="1:15" x14ac:dyDescent="0.25">
      <c r="A21" s="14" t="s">
        <v>102</v>
      </c>
      <c r="B21" s="23">
        <v>20000</v>
      </c>
      <c r="C21" s="23">
        <v>304.35000000000002</v>
      </c>
      <c r="D21" s="23">
        <v>336.28</v>
      </c>
      <c r="E21" s="23">
        <v>382.8</v>
      </c>
      <c r="F21" s="23">
        <v>382.8</v>
      </c>
      <c r="G21" s="23">
        <v>382.8</v>
      </c>
      <c r="H21" s="23">
        <v>382.8</v>
      </c>
      <c r="I21" s="23"/>
      <c r="J21" s="23"/>
      <c r="K21" s="23"/>
      <c r="L21" s="23"/>
      <c r="M21" s="23"/>
      <c r="N21" s="23"/>
      <c r="O21" s="25">
        <f t="shared" si="2"/>
        <v>2171.83</v>
      </c>
    </row>
    <row r="22" spans="1:15" x14ac:dyDescent="0.25">
      <c r="A22" s="14" t="s">
        <v>103</v>
      </c>
      <c r="B22" s="23">
        <v>105000</v>
      </c>
      <c r="C22" s="23">
        <v>36215.39</v>
      </c>
      <c r="D22" s="23">
        <v>37332.879999999997</v>
      </c>
      <c r="E22" s="23">
        <v>40741.25</v>
      </c>
      <c r="F22" s="23">
        <v>41833.25</v>
      </c>
      <c r="G22" s="23">
        <v>40013.25</v>
      </c>
      <c r="H22" s="23">
        <v>50751.25</v>
      </c>
      <c r="I22" s="23"/>
      <c r="J22" s="23"/>
      <c r="K22" s="23"/>
      <c r="L22" s="23"/>
      <c r="M22" s="23"/>
      <c r="N22" s="23"/>
      <c r="O22" s="25">
        <f t="shared" si="2"/>
        <v>246887.27</v>
      </c>
    </row>
    <row r="23" spans="1:15" x14ac:dyDescent="0.25">
      <c r="A23" s="14" t="s">
        <v>104</v>
      </c>
      <c r="B23" s="23">
        <v>500000</v>
      </c>
      <c r="C23" s="23">
        <v>663.33</v>
      </c>
      <c r="D23" s="23">
        <v>0</v>
      </c>
      <c r="E23" s="23">
        <v>1962.17</v>
      </c>
      <c r="F23" s="23">
        <v>1195.3599999999999</v>
      </c>
      <c r="G23" s="23">
        <v>0</v>
      </c>
      <c r="H23" s="23">
        <v>168896.03</v>
      </c>
      <c r="I23" s="23"/>
      <c r="J23" s="23"/>
      <c r="K23" s="23"/>
      <c r="L23" s="23"/>
      <c r="M23" s="23"/>
      <c r="N23" s="23"/>
      <c r="O23" s="25">
        <f t="shared" si="2"/>
        <v>172716.88999999998</v>
      </c>
    </row>
    <row r="24" spans="1:15" x14ac:dyDescent="0.25">
      <c r="A24" s="14" t="s">
        <v>105</v>
      </c>
      <c r="B24" s="23">
        <v>5000000</v>
      </c>
      <c r="C24" s="23">
        <v>672309.2</v>
      </c>
      <c r="D24" s="23">
        <v>633264.4</v>
      </c>
      <c r="E24" s="23">
        <v>555361</v>
      </c>
      <c r="F24" s="23">
        <v>545164</v>
      </c>
      <c r="G24" s="23">
        <v>549847</v>
      </c>
      <c r="H24" s="23">
        <v>543753</v>
      </c>
      <c r="I24" s="23"/>
      <c r="J24" s="23"/>
      <c r="K24" s="23"/>
      <c r="L24" s="23"/>
      <c r="M24" s="23"/>
      <c r="N24" s="23"/>
      <c r="O24" s="25">
        <f t="shared" si="2"/>
        <v>3499698.6</v>
      </c>
    </row>
    <row r="25" spans="1:15" x14ac:dyDescent="0.25">
      <c r="A25" s="14" t="s">
        <v>106</v>
      </c>
      <c r="B25" s="23">
        <v>5500000</v>
      </c>
      <c r="C25" s="23">
        <v>515182.35</v>
      </c>
      <c r="D25" s="23">
        <v>527327.35</v>
      </c>
      <c r="E25" s="23">
        <v>603296.49</v>
      </c>
      <c r="F25" s="23">
        <v>535968.44999999995</v>
      </c>
      <c r="G25" s="23">
        <v>572365.43000000005</v>
      </c>
      <c r="H25" s="23">
        <v>552173.51</v>
      </c>
      <c r="I25" s="23"/>
      <c r="J25" s="23"/>
      <c r="K25" s="23"/>
      <c r="L25" s="23"/>
      <c r="M25" s="23"/>
      <c r="N25" s="23"/>
      <c r="O25" s="25">
        <f t="shared" si="2"/>
        <v>3306313.58</v>
      </c>
    </row>
    <row r="26" spans="1:15" x14ac:dyDescent="0.25">
      <c r="A26" s="14" t="s">
        <v>107</v>
      </c>
      <c r="B26" s="23">
        <v>100000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/>
      <c r="J26" s="23"/>
      <c r="K26" s="23"/>
      <c r="L26" s="23"/>
      <c r="M26" s="23"/>
      <c r="N26" s="23"/>
      <c r="O26" s="25">
        <f t="shared" si="2"/>
        <v>0</v>
      </c>
    </row>
    <row r="27" spans="1:15" x14ac:dyDescent="0.25">
      <c r="A27" s="14" t="s">
        <v>108</v>
      </c>
      <c r="B27" s="23">
        <v>1320000</v>
      </c>
      <c r="C27" s="23">
        <v>145439.1</v>
      </c>
      <c r="D27" s="23">
        <v>136739.21</v>
      </c>
      <c r="E27" s="23">
        <v>155880.42000000001</v>
      </c>
      <c r="F27" s="23">
        <v>311759.7</v>
      </c>
      <c r="G27" s="23">
        <v>338761.25</v>
      </c>
      <c r="H27" s="23">
        <v>340105.46</v>
      </c>
      <c r="I27" s="23"/>
      <c r="J27" s="23"/>
      <c r="K27" s="23"/>
      <c r="L27" s="23"/>
      <c r="M27" s="23"/>
      <c r="N27" s="23"/>
      <c r="O27" s="25">
        <f t="shared" si="2"/>
        <v>1428685.14</v>
      </c>
    </row>
    <row r="28" spans="1:15" x14ac:dyDescent="0.25">
      <c r="A28" s="14" t="s">
        <v>194</v>
      </c>
      <c r="B28" s="23"/>
      <c r="C28" s="23"/>
      <c r="D28" s="23"/>
      <c r="E28" s="23"/>
      <c r="F28" s="23"/>
      <c r="G28" s="23">
        <v>27000</v>
      </c>
      <c r="H28" s="23">
        <v>35500</v>
      </c>
      <c r="I28" s="23"/>
      <c r="J28" s="23"/>
      <c r="K28" s="23"/>
      <c r="L28" s="23"/>
      <c r="M28" s="23"/>
      <c r="N28" s="23"/>
      <c r="O28" s="25">
        <f t="shared" si="2"/>
        <v>62500</v>
      </c>
    </row>
    <row r="29" spans="1:15" x14ac:dyDescent="0.25">
      <c r="A29" s="14" t="s">
        <v>109</v>
      </c>
      <c r="B29" s="23">
        <v>9020000</v>
      </c>
      <c r="C29" s="23">
        <v>623368.87</v>
      </c>
      <c r="D29" s="23">
        <v>723360.06</v>
      </c>
      <c r="E29" s="23">
        <v>736701.3</v>
      </c>
      <c r="F29" s="23">
        <v>609794.15</v>
      </c>
      <c r="G29" s="23">
        <v>580126.84</v>
      </c>
      <c r="H29" s="23">
        <v>489306.57</v>
      </c>
      <c r="I29" s="23"/>
      <c r="J29" s="23"/>
      <c r="K29" s="23"/>
      <c r="L29" s="23"/>
      <c r="M29" s="23"/>
      <c r="N29" s="23"/>
      <c r="O29" s="25">
        <f t="shared" si="2"/>
        <v>3762657.79</v>
      </c>
    </row>
    <row r="30" spans="1:15" x14ac:dyDescent="0.25">
      <c r="A30" s="14" t="s">
        <v>110</v>
      </c>
      <c r="B30" s="23">
        <v>6820000</v>
      </c>
      <c r="C30" s="23">
        <v>559000</v>
      </c>
      <c r="D30" s="23">
        <v>519000</v>
      </c>
      <c r="E30" s="23">
        <v>509050</v>
      </c>
      <c r="F30" s="23">
        <v>503100</v>
      </c>
      <c r="G30" s="23">
        <v>493400</v>
      </c>
      <c r="H30" s="23">
        <v>484731.87</v>
      </c>
      <c r="I30" s="23"/>
      <c r="J30" s="23"/>
      <c r="K30" s="23"/>
      <c r="L30" s="23"/>
      <c r="M30" s="23"/>
      <c r="N30" s="23"/>
      <c r="O30" s="25">
        <f t="shared" si="2"/>
        <v>3068281.87</v>
      </c>
    </row>
    <row r="31" spans="1:15" x14ac:dyDescent="0.25">
      <c r="A31" s="14" t="s">
        <v>111</v>
      </c>
      <c r="B31" s="23">
        <v>500000</v>
      </c>
      <c r="C31" s="23">
        <v>0</v>
      </c>
      <c r="D31" s="23">
        <v>0</v>
      </c>
      <c r="E31" s="23">
        <v>0</v>
      </c>
      <c r="F31" s="23">
        <v>0</v>
      </c>
      <c r="G31" s="23"/>
      <c r="H31" s="23">
        <v>0</v>
      </c>
      <c r="I31" s="23"/>
      <c r="J31" s="23"/>
      <c r="K31" s="23"/>
      <c r="L31" s="23"/>
      <c r="M31" s="23"/>
      <c r="N31" s="23"/>
      <c r="O31" s="25">
        <f t="shared" si="2"/>
        <v>0</v>
      </c>
    </row>
    <row r="32" spans="1:15" x14ac:dyDescent="0.25">
      <c r="A32" s="14" t="s">
        <v>112</v>
      </c>
      <c r="B32" s="23">
        <v>1700000</v>
      </c>
      <c r="C32" s="23">
        <v>64368.87</v>
      </c>
      <c r="D32" s="23">
        <v>204360.06</v>
      </c>
      <c r="E32" s="23">
        <v>227651.3</v>
      </c>
      <c r="F32" s="23">
        <v>106694.15</v>
      </c>
      <c r="G32" s="23">
        <v>86726.84</v>
      </c>
      <c r="H32" s="23">
        <v>4574.7</v>
      </c>
      <c r="I32" s="23"/>
      <c r="J32" s="23"/>
      <c r="K32" s="23"/>
      <c r="L32" s="23"/>
      <c r="M32" s="23"/>
      <c r="N32" s="23"/>
      <c r="O32" s="25">
        <f t="shared" si="2"/>
        <v>694375.91999999993</v>
      </c>
    </row>
    <row r="33" spans="1:16" x14ac:dyDescent="0.25">
      <c r="A33" s="14" t="s">
        <v>113</v>
      </c>
      <c r="B33" s="23">
        <v>360000</v>
      </c>
      <c r="C33" s="23">
        <v>13161.23</v>
      </c>
      <c r="D33" s="23">
        <v>0</v>
      </c>
      <c r="E33" s="23">
        <v>0</v>
      </c>
      <c r="F33" s="23">
        <v>0</v>
      </c>
      <c r="G33" s="23"/>
      <c r="H33" s="23">
        <v>0</v>
      </c>
      <c r="I33" s="23"/>
      <c r="J33" s="23"/>
      <c r="K33" s="23"/>
      <c r="L33" s="23"/>
      <c r="M33" s="23"/>
      <c r="N33" s="23"/>
      <c r="O33" s="25">
        <f t="shared" si="2"/>
        <v>13161.23</v>
      </c>
    </row>
    <row r="34" spans="1:16" x14ac:dyDescent="0.25">
      <c r="A34" s="14" t="s">
        <v>114</v>
      </c>
      <c r="B34" s="23">
        <f>SUM(B35:B38)</f>
        <v>14600000</v>
      </c>
      <c r="C34" s="23">
        <f t="shared" ref="C34:N34" si="8">SUM(C35:C38)</f>
        <v>1054012.3700000001</v>
      </c>
      <c r="D34" s="23">
        <f t="shared" si="8"/>
        <v>1537776.95</v>
      </c>
      <c r="E34" s="23">
        <f t="shared" si="8"/>
        <v>1188992.1800000002</v>
      </c>
      <c r="F34" s="23">
        <f t="shared" si="8"/>
        <v>1201078.82</v>
      </c>
      <c r="G34" s="23">
        <f t="shared" si="8"/>
        <v>1298533.48</v>
      </c>
      <c r="H34" s="23">
        <f t="shared" si="8"/>
        <v>1328279.08</v>
      </c>
      <c r="I34" s="23">
        <f t="shared" si="8"/>
        <v>0</v>
      </c>
      <c r="J34" s="23">
        <f t="shared" si="8"/>
        <v>0</v>
      </c>
      <c r="K34" s="23">
        <f t="shared" si="8"/>
        <v>0</v>
      </c>
      <c r="L34" s="23">
        <f t="shared" si="8"/>
        <v>0</v>
      </c>
      <c r="M34" s="23">
        <f t="shared" si="8"/>
        <v>0</v>
      </c>
      <c r="N34" s="23">
        <f t="shared" si="8"/>
        <v>0</v>
      </c>
      <c r="O34" s="25">
        <f t="shared" si="2"/>
        <v>7608672.8800000008</v>
      </c>
    </row>
    <row r="35" spans="1:16" x14ac:dyDescent="0.25">
      <c r="A35" s="14" t="s">
        <v>115</v>
      </c>
      <c r="B35" s="23">
        <v>10500000</v>
      </c>
      <c r="C35" s="23">
        <v>755208.04</v>
      </c>
      <c r="D35" s="23">
        <v>1126471.3999999999</v>
      </c>
      <c r="E35" s="23">
        <v>781788.44</v>
      </c>
      <c r="F35" s="23">
        <v>774535.6</v>
      </c>
      <c r="G35" s="23">
        <v>875113.49</v>
      </c>
      <c r="H35" s="23">
        <v>909019.13</v>
      </c>
      <c r="I35" s="23"/>
      <c r="J35" s="23"/>
      <c r="K35" s="23"/>
      <c r="L35" s="23"/>
      <c r="M35" s="23"/>
      <c r="N35" s="23"/>
      <c r="O35" s="25">
        <f t="shared" si="2"/>
        <v>5222136.0999999996</v>
      </c>
    </row>
    <row r="36" spans="1:16" x14ac:dyDescent="0.25">
      <c r="A36" s="14" t="s">
        <v>116</v>
      </c>
      <c r="B36" s="23">
        <v>2800000</v>
      </c>
      <c r="C36" s="23">
        <v>298804.33</v>
      </c>
      <c r="D36" s="23">
        <v>203563.32</v>
      </c>
      <c r="E36" s="23">
        <v>202643.91</v>
      </c>
      <c r="F36" s="23">
        <v>223100</v>
      </c>
      <c r="G36" s="23">
        <v>221618.97</v>
      </c>
      <c r="H36" s="23">
        <v>219200.85</v>
      </c>
      <c r="I36" s="23"/>
      <c r="J36" s="23"/>
      <c r="K36" s="23"/>
      <c r="L36" s="23"/>
      <c r="M36" s="23"/>
      <c r="N36" s="23"/>
      <c r="O36" s="25">
        <f t="shared" si="2"/>
        <v>1368931.3800000001</v>
      </c>
    </row>
    <row r="37" spans="1:16" x14ac:dyDescent="0.25">
      <c r="A37" s="14" t="s">
        <v>117</v>
      </c>
      <c r="B37" s="23">
        <v>1270000</v>
      </c>
      <c r="C37" s="23">
        <v>0</v>
      </c>
      <c r="D37" s="23">
        <v>205187.93</v>
      </c>
      <c r="E37" s="23">
        <v>202034.23</v>
      </c>
      <c r="F37" s="23">
        <v>200938.12</v>
      </c>
      <c r="G37" s="23">
        <v>197792.59</v>
      </c>
      <c r="H37" s="23">
        <v>197586.8</v>
      </c>
      <c r="I37" s="23"/>
      <c r="J37" s="23"/>
      <c r="K37" s="23"/>
      <c r="L37" s="23"/>
      <c r="M37" s="23"/>
      <c r="N37" s="23"/>
      <c r="O37" s="25">
        <f t="shared" si="2"/>
        <v>1003539.6699999999</v>
      </c>
    </row>
    <row r="38" spans="1:16" x14ac:dyDescent="0.25">
      <c r="A38" s="14" t="s">
        <v>118</v>
      </c>
      <c r="B38" s="23">
        <v>30000</v>
      </c>
      <c r="C38" s="23">
        <v>0</v>
      </c>
      <c r="D38" s="23">
        <v>2554.3000000000002</v>
      </c>
      <c r="E38" s="23">
        <v>2525.6</v>
      </c>
      <c r="F38" s="23">
        <v>2505.1</v>
      </c>
      <c r="G38" s="23">
        <v>4008.43</v>
      </c>
      <c r="H38" s="23">
        <v>2472.3000000000002</v>
      </c>
      <c r="I38" s="23"/>
      <c r="J38" s="23"/>
      <c r="K38" s="23"/>
      <c r="L38" s="23"/>
      <c r="M38" s="23"/>
      <c r="N38" s="23"/>
      <c r="O38" s="25">
        <f t="shared" si="2"/>
        <v>14065.73</v>
      </c>
    </row>
    <row r="39" spans="1:16" x14ac:dyDescent="0.25">
      <c r="A39" s="27" t="s">
        <v>119</v>
      </c>
      <c r="B39" s="28">
        <f>SUM(B40:B41)</f>
        <v>60130000</v>
      </c>
      <c r="C39" s="28">
        <f t="shared" ref="C39:F39" si="9">SUM(C40:C41)</f>
        <v>1987983.05</v>
      </c>
      <c r="D39" s="28">
        <f t="shared" si="9"/>
        <v>4448985.5299999993</v>
      </c>
      <c r="E39" s="28">
        <f t="shared" si="9"/>
        <v>5790575.4900000002</v>
      </c>
      <c r="F39" s="28">
        <f t="shared" si="9"/>
        <v>6674571.4199999999</v>
      </c>
      <c r="G39" s="28">
        <f t="shared" ref="G39:N39" si="10">SUM(G40:G41)</f>
        <v>6034248.5199999996</v>
      </c>
      <c r="H39" s="28">
        <f t="shared" si="10"/>
        <v>7928370.5499999998</v>
      </c>
      <c r="I39" s="28">
        <f t="shared" si="10"/>
        <v>0</v>
      </c>
      <c r="J39" s="28">
        <f t="shared" si="10"/>
        <v>0</v>
      </c>
      <c r="K39" s="28">
        <f t="shared" si="10"/>
        <v>0</v>
      </c>
      <c r="L39" s="28">
        <f t="shared" si="10"/>
        <v>0</v>
      </c>
      <c r="M39" s="28">
        <f t="shared" si="10"/>
        <v>0</v>
      </c>
      <c r="N39" s="28">
        <f t="shared" si="10"/>
        <v>0</v>
      </c>
      <c r="O39" s="25">
        <f t="shared" si="2"/>
        <v>32864734.560000002</v>
      </c>
      <c r="P39" s="113"/>
    </row>
    <row r="40" spans="1:16" x14ac:dyDescent="0.25">
      <c r="A40" s="14" t="s">
        <v>64</v>
      </c>
      <c r="B40" s="23">
        <v>18930000</v>
      </c>
      <c r="C40" s="23">
        <v>764797.23</v>
      </c>
      <c r="D40" s="23">
        <v>1652527.88</v>
      </c>
      <c r="E40" s="23">
        <v>1731773.6</v>
      </c>
      <c r="F40" s="23">
        <v>2159918.4700000002</v>
      </c>
      <c r="G40" s="23">
        <v>1940619.77</v>
      </c>
      <c r="H40" s="23">
        <v>2578340.83</v>
      </c>
      <c r="I40" s="23"/>
      <c r="J40" s="23"/>
      <c r="K40" s="23"/>
      <c r="L40" s="23"/>
      <c r="M40" s="23"/>
      <c r="N40" s="23"/>
      <c r="O40" s="25">
        <f t="shared" si="2"/>
        <v>10827977.779999999</v>
      </c>
    </row>
    <row r="41" spans="1:16" x14ac:dyDescent="0.25">
      <c r="A41" s="14" t="s">
        <v>65</v>
      </c>
      <c r="B41" s="23">
        <v>41200000</v>
      </c>
      <c r="C41" s="23">
        <v>1223185.82</v>
      </c>
      <c r="D41" s="23">
        <v>2796457.65</v>
      </c>
      <c r="E41" s="23">
        <v>4058801.89</v>
      </c>
      <c r="F41" s="23">
        <v>4514652.95</v>
      </c>
      <c r="G41" s="23">
        <v>4093628.75</v>
      </c>
      <c r="H41" s="23">
        <v>5350029.72</v>
      </c>
      <c r="I41" s="23"/>
      <c r="J41" s="23"/>
      <c r="K41" s="23"/>
      <c r="L41" s="23"/>
      <c r="M41" s="23"/>
      <c r="N41" s="23"/>
      <c r="O41" s="25">
        <f t="shared" si="2"/>
        <v>22036756.779999997</v>
      </c>
    </row>
    <row r="42" spans="1:16" x14ac:dyDescent="0.25">
      <c r="A42" s="27" t="s">
        <v>120</v>
      </c>
      <c r="B42" s="28">
        <f>+B43</f>
        <v>240000</v>
      </c>
      <c r="C42" s="28">
        <f t="shared" ref="C42:F42" si="11">+C43</f>
        <v>28481.53</v>
      </c>
      <c r="D42" s="28">
        <f t="shared" si="11"/>
        <v>29118.83</v>
      </c>
      <c r="E42" s="28">
        <f t="shared" si="11"/>
        <v>21797.23</v>
      </c>
      <c r="F42" s="28">
        <f t="shared" si="11"/>
        <v>22923.09</v>
      </c>
      <c r="G42" s="28">
        <f t="shared" ref="G42" si="12">+G43</f>
        <v>21918</v>
      </c>
      <c r="H42" s="28">
        <f t="shared" ref="H42" si="13">+H43</f>
        <v>21031.85</v>
      </c>
      <c r="I42" s="28">
        <f t="shared" ref="I42" si="14">+I43</f>
        <v>0</v>
      </c>
      <c r="J42" s="28">
        <f t="shared" ref="J42" si="15">+J43</f>
        <v>0</v>
      </c>
      <c r="K42" s="28">
        <f t="shared" ref="K42" si="16">+K43</f>
        <v>0</v>
      </c>
      <c r="L42" s="28">
        <f t="shared" ref="L42" si="17">+L43</f>
        <v>0</v>
      </c>
      <c r="M42" s="28">
        <f t="shared" ref="M42" si="18">+M43</f>
        <v>0</v>
      </c>
      <c r="N42" s="28">
        <f t="shared" ref="N42" si="19">+N43</f>
        <v>0</v>
      </c>
      <c r="O42" s="25">
        <f t="shared" si="2"/>
        <v>145270.53</v>
      </c>
    </row>
    <row r="43" spans="1:16" x14ac:dyDescent="0.25">
      <c r="A43" s="14" t="s">
        <v>120</v>
      </c>
      <c r="B43" s="23">
        <v>240000</v>
      </c>
      <c r="C43" s="23">
        <v>28481.53</v>
      </c>
      <c r="D43" s="23">
        <v>29118.83</v>
      </c>
      <c r="E43" s="23">
        <v>21797.23</v>
      </c>
      <c r="F43" s="23">
        <v>22923.09</v>
      </c>
      <c r="G43" s="23">
        <v>21918</v>
      </c>
      <c r="H43" s="23">
        <v>21031.85</v>
      </c>
      <c r="I43" s="23"/>
      <c r="J43" s="23"/>
      <c r="K43" s="23"/>
      <c r="L43" s="23"/>
      <c r="M43" s="23"/>
      <c r="N43" s="23"/>
      <c r="O43" s="25">
        <f t="shared" si="2"/>
        <v>145270.53</v>
      </c>
    </row>
    <row r="44" spans="1:16" x14ac:dyDescent="0.25">
      <c r="A44" s="27" t="s">
        <v>66</v>
      </c>
      <c r="B44" s="28">
        <f>+B45</f>
        <v>6000000</v>
      </c>
      <c r="C44" s="28">
        <f t="shared" ref="C44:F44" si="20">+C45</f>
        <v>79735.5</v>
      </c>
      <c r="D44" s="28">
        <f t="shared" si="20"/>
        <v>113309.25</v>
      </c>
      <c r="E44" s="28">
        <f t="shared" si="20"/>
        <v>276159.84999999998</v>
      </c>
      <c r="F44" s="28">
        <f t="shared" si="20"/>
        <v>255767.41</v>
      </c>
      <c r="G44" s="28">
        <f t="shared" ref="G44" si="21">+G45</f>
        <v>449654.04</v>
      </c>
      <c r="H44" s="28">
        <f t="shared" ref="H44" si="22">+H45</f>
        <v>433104.34</v>
      </c>
      <c r="I44" s="28">
        <f t="shared" ref="I44" si="23">+I45</f>
        <v>0</v>
      </c>
      <c r="J44" s="28">
        <f t="shared" ref="J44" si="24">+J45</f>
        <v>0</v>
      </c>
      <c r="K44" s="28">
        <f t="shared" ref="K44" si="25">+K45</f>
        <v>0</v>
      </c>
      <c r="L44" s="28">
        <f t="shared" ref="L44" si="26">+L45</f>
        <v>0</v>
      </c>
      <c r="M44" s="28">
        <f t="shared" ref="M44" si="27">+M45</f>
        <v>0</v>
      </c>
      <c r="N44" s="28">
        <f t="shared" ref="N44" si="28">+N45</f>
        <v>0</v>
      </c>
      <c r="O44" s="25">
        <f t="shared" si="2"/>
        <v>1607730.3900000001</v>
      </c>
    </row>
    <row r="45" spans="1:16" x14ac:dyDescent="0.25">
      <c r="A45" s="14" t="s">
        <v>121</v>
      </c>
      <c r="B45" s="23">
        <f>SUM(B46:B47)</f>
        <v>6000000</v>
      </c>
      <c r="C45" s="23">
        <f t="shared" ref="C45:N45" si="29">SUM(C46:C47)</f>
        <v>79735.5</v>
      </c>
      <c r="D45" s="23">
        <f t="shared" si="29"/>
        <v>113309.25</v>
      </c>
      <c r="E45" s="23">
        <f t="shared" si="29"/>
        <v>276159.84999999998</v>
      </c>
      <c r="F45" s="23">
        <f t="shared" si="29"/>
        <v>255767.41</v>
      </c>
      <c r="G45" s="23">
        <v>449654.04</v>
      </c>
      <c r="H45" s="23">
        <f>+H46+H47</f>
        <v>433104.34</v>
      </c>
      <c r="I45" s="23">
        <f t="shared" si="29"/>
        <v>0</v>
      </c>
      <c r="J45" s="23">
        <f t="shared" si="29"/>
        <v>0</v>
      </c>
      <c r="K45" s="23">
        <f t="shared" si="29"/>
        <v>0</v>
      </c>
      <c r="L45" s="23">
        <f t="shared" si="29"/>
        <v>0</v>
      </c>
      <c r="M45" s="23">
        <f t="shared" si="29"/>
        <v>0</v>
      </c>
      <c r="N45" s="23">
        <f t="shared" si="29"/>
        <v>0</v>
      </c>
      <c r="O45" s="25">
        <f t="shared" si="2"/>
        <v>1607730.3900000001</v>
      </c>
    </row>
    <row r="46" spans="1:16" x14ac:dyDescent="0.25">
      <c r="A46" s="14" t="s">
        <v>122</v>
      </c>
      <c r="B46" s="23">
        <v>500000</v>
      </c>
      <c r="C46" s="23">
        <v>16900</v>
      </c>
      <c r="D46" s="23">
        <v>18200</v>
      </c>
      <c r="E46" s="23">
        <v>16900</v>
      </c>
      <c r="F46" s="23">
        <v>1793</v>
      </c>
      <c r="G46" s="23">
        <v>86564</v>
      </c>
      <c r="H46" s="23">
        <v>23786.400000000001</v>
      </c>
      <c r="I46" s="23"/>
      <c r="J46" s="23"/>
      <c r="K46" s="23"/>
      <c r="L46" s="23"/>
      <c r="M46" s="23"/>
      <c r="N46" s="23"/>
      <c r="O46" s="25">
        <f t="shared" si="2"/>
        <v>164143.4</v>
      </c>
    </row>
    <row r="47" spans="1:16" x14ac:dyDescent="0.25">
      <c r="A47" s="14" t="s">
        <v>123</v>
      </c>
      <c r="B47" s="23">
        <v>5500000</v>
      </c>
      <c r="C47" s="23">
        <v>62835.5</v>
      </c>
      <c r="D47" s="23">
        <v>95109.25</v>
      </c>
      <c r="E47" s="23">
        <v>259259.85</v>
      </c>
      <c r="F47" s="23">
        <v>253974.41</v>
      </c>
      <c r="G47" s="23">
        <v>363090.04</v>
      </c>
      <c r="H47" s="23">
        <v>409317.94</v>
      </c>
      <c r="I47" s="23"/>
      <c r="J47" s="23"/>
      <c r="K47" s="23"/>
      <c r="L47" s="23"/>
      <c r="M47" s="23"/>
      <c r="N47" s="23"/>
      <c r="O47" s="25">
        <f t="shared" si="2"/>
        <v>1443586.99</v>
      </c>
    </row>
    <row r="48" spans="1:16" x14ac:dyDescent="0.25">
      <c r="A48" s="80" t="s">
        <v>67</v>
      </c>
      <c r="B48" s="81">
        <f>+B49</f>
        <v>53930000</v>
      </c>
      <c r="C48" s="81">
        <f t="shared" ref="C48:H48" si="30">+C49</f>
        <v>87056.01</v>
      </c>
      <c r="D48" s="81">
        <f t="shared" si="30"/>
        <v>73072.38</v>
      </c>
      <c r="E48" s="81">
        <f t="shared" si="30"/>
        <v>992110</v>
      </c>
      <c r="F48" s="81">
        <f t="shared" si="30"/>
        <v>1946151.9900000002</v>
      </c>
      <c r="G48" s="81">
        <f t="shared" si="30"/>
        <v>1234063.95</v>
      </c>
      <c r="H48" s="81">
        <f t="shared" si="30"/>
        <v>5392710.3899999997</v>
      </c>
      <c r="I48" s="81"/>
      <c r="J48" s="81"/>
      <c r="K48" s="81"/>
      <c r="L48" s="81"/>
      <c r="M48" s="81"/>
      <c r="N48" s="81"/>
      <c r="O48" s="25">
        <f t="shared" si="2"/>
        <v>9725164.7199999988</v>
      </c>
    </row>
    <row r="49" spans="1:15" x14ac:dyDescent="0.25">
      <c r="A49" s="30" t="s">
        <v>124</v>
      </c>
      <c r="B49" s="31">
        <f>+B50+B54</f>
        <v>53930000</v>
      </c>
      <c r="C49" s="31">
        <f t="shared" ref="C49:N49" si="31">+C50+C54</f>
        <v>87056.01</v>
      </c>
      <c r="D49" s="31">
        <f t="shared" si="31"/>
        <v>73072.38</v>
      </c>
      <c r="E49" s="31">
        <f t="shared" si="31"/>
        <v>992110</v>
      </c>
      <c r="F49" s="31">
        <f t="shared" si="31"/>
        <v>1946151.9900000002</v>
      </c>
      <c r="G49" s="31">
        <f t="shared" si="31"/>
        <v>1234063.95</v>
      </c>
      <c r="H49" s="31">
        <f t="shared" si="31"/>
        <v>5392710.3899999997</v>
      </c>
      <c r="I49" s="31">
        <f t="shared" si="31"/>
        <v>0</v>
      </c>
      <c r="J49" s="31">
        <f t="shared" si="31"/>
        <v>0</v>
      </c>
      <c r="K49" s="31">
        <f t="shared" si="31"/>
        <v>0</v>
      </c>
      <c r="L49" s="31">
        <f t="shared" si="31"/>
        <v>0</v>
      </c>
      <c r="M49" s="31">
        <f t="shared" si="31"/>
        <v>0</v>
      </c>
      <c r="N49" s="31">
        <f t="shared" si="31"/>
        <v>0</v>
      </c>
      <c r="O49" s="25">
        <f t="shared" si="2"/>
        <v>9725164.7199999988</v>
      </c>
    </row>
    <row r="50" spans="1:15" x14ac:dyDescent="0.25">
      <c r="A50" s="29" t="s">
        <v>125</v>
      </c>
      <c r="B50" s="26">
        <f>SUM(B51:B53)</f>
        <v>20330000</v>
      </c>
      <c r="C50" s="26">
        <f t="shared" ref="C50:N50" si="32">SUM(C51:C53)</f>
        <v>87056.01</v>
      </c>
      <c r="D50" s="26">
        <f t="shared" si="32"/>
        <v>73072.38</v>
      </c>
      <c r="E50" s="26">
        <f t="shared" si="32"/>
        <v>823945.25</v>
      </c>
      <c r="F50" s="26">
        <f t="shared" si="32"/>
        <v>192433.14</v>
      </c>
      <c r="G50" s="26">
        <f t="shared" si="32"/>
        <v>434751.12</v>
      </c>
      <c r="H50" s="26">
        <f t="shared" si="32"/>
        <v>3996583.88</v>
      </c>
      <c r="I50" s="26">
        <f t="shared" si="32"/>
        <v>0</v>
      </c>
      <c r="J50" s="26">
        <f t="shared" si="32"/>
        <v>0</v>
      </c>
      <c r="K50" s="26">
        <f t="shared" si="32"/>
        <v>0</v>
      </c>
      <c r="L50" s="26">
        <f t="shared" si="32"/>
        <v>0</v>
      </c>
      <c r="M50" s="26">
        <f t="shared" si="32"/>
        <v>0</v>
      </c>
      <c r="N50" s="26">
        <f t="shared" si="32"/>
        <v>0</v>
      </c>
      <c r="O50" s="25">
        <f t="shared" si="2"/>
        <v>5607841.7799999993</v>
      </c>
    </row>
    <row r="51" spans="1:15" x14ac:dyDescent="0.25">
      <c r="A51" s="14" t="s">
        <v>126</v>
      </c>
      <c r="B51" s="23">
        <v>18450000</v>
      </c>
      <c r="C51" s="23">
        <v>74553.17</v>
      </c>
      <c r="D51" s="23">
        <v>30359.32</v>
      </c>
      <c r="E51" s="23">
        <v>736965.73</v>
      </c>
      <c r="F51" s="23">
        <v>96442.92</v>
      </c>
      <c r="G51" s="23">
        <v>243286.37</v>
      </c>
      <c r="H51" s="23">
        <v>3573917.1</v>
      </c>
      <c r="I51" s="23"/>
      <c r="J51" s="23"/>
      <c r="K51" s="23"/>
      <c r="L51" s="23"/>
      <c r="M51" s="23"/>
      <c r="N51" s="23"/>
      <c r="O51" s="25">
        <f t="shared" si="2"/>
        <v>4755524.6100000003</v>
      </c>
    </row>
    <row r="52" spans="1:15" x14ac:dyDescent="0.25">
      <c r="A52" s="14" t="s">
        <v>127</v>
      </c>
      <c r="B52" s="23">
        <v>440000</v>
      </c>
      <c r="C52" s="23">
        <v>2420</v>
      </c>
      <c r="D52" s="23">
        <v>7400</v>
      </c>
      <c r="E52" s="23">
        <v>24069.99</v>
      </c>
      <c r="F52" s="23">
        <v>51261.47</v>
      </c>
      <c r="G52" s="23">
        <v>44426.5</v>
      </c>
      <c r="H52" s="23">
        <v>112713.98</v>
      </c>
      <c r="I52" s="23"/>
      <c r="J52" s="23"/>
      <c r="K52" s="23"/>
      <c r="L52" s="23"/>
      <c r="M52" s="23"/>
      <c r="N52" s="23"/>
      <c r="O52" s="25">
        <f t="shared" si="2"/>
        <v>242291.94</v>
      </c>
    </row>
    <row r="53" spans="1:15" x14ac:dyDescent="0.25">
      <c r="A53" s="14" t="s">
        <v>128</v>
      </c>
      <c r="B53" s="23">
        <v>1440000</v>
      </c>
      <c r="C53" s="23">
        <v>10082.84</v>
      </c>
      <c r="D53" s="23">
        <v>35313.06</v>
      </c>
      <c r="E53" s="23">
        <v>62909.53</v>
      </c>
      <c r="F53" s="23">
        <v>44728.75</v>
      </c>
      <c r="G53" s="23">
        <v>147038.25</v>
      </c>
      <c r="H53" s="23">
        <v>309952.8</v>
      </c>
      <c r="I53" s="23"/>
      <c r="J53" s="23"/>
      <c r="K53" s="23"/>
      <c r="L53" s="23"/>
      <c r="M53" s="23"/>
      <c r="N53" s="23"/>
      <c r="O53" s="25">
        <f t="shared" si="2"/>
        <v>610025.23</v>
      </c>
    </row>
    <row r="54" spans="1:15" x14ac:dyDescent="0.25">
      <c r="A54" s="29" t="s">
        <v>129</v>
      </c>
      <c r="B54" s="26">
        <f>+B55</f>
        <v>33600000</v>
      </c>
      <c r="C54" s="26">
        <f t="shared" ref="C54:F54" si="33">+C55</f>
        <v>0</v>
      </c>
      <c r="D54" s="26">
        <f t="shared" si="33"/>
        <v>0</v>
      </c>
      <c r="E54" s="26">
        <f t="shared" si="33"/>
        <v>168164.75</v>
      </c>
      <c r="F54" s="26">
        <f t="shared" si="33"/>
        <v>1753718.85</v>
      </c>
      <c r="G54" s="26">
        <f t="shared" ref="G54:N54" si="34">+G55</f>
        <v>799312.83</v>
      </c>
      <c r="H54" s="26">
        <f t="shared" si="34"/>
        <v>1396126.51</v>
      </c>
      <c r="I54" s="26">
        <f t="shared" si="34"/>
        <v>0</v>
      </c>
      <c r="J54" s="26">
        <f t="shared" si="34"/>
        <v>0</v>
      </c>
      <c r="K54" s="26">
        <f t="shared" si="34"/>
        <v>0</v>
      </c>
      <c r="L54" s="26">
        <f t="shared" si="34"/>
        <v>0</v>
      </c>
      <c r="M54" s="26">
        <f t="shared" si="34"/>
        <v>0</v>
      </c>
      <c r="N54" s="26">
        <f t="shared" si="34"/>
        <v>0</v>
      </c>
      <c r="O54" s="25">
        <f t="shared" si="2"/>
        <v>4117322.9400000004</v>
      </c>
    </row>
    <row r="55" spans="1:15" x14ac:dyDescent="0.25">
      <c r="A55" s="14" t="s">
        <v>130</v>
      </c>
      <c r="B55" s="23">
        <v>33600000</v>
      </c>
      <c r="C55" s="23">
        <v>0</v>
      </c>
      <c r="D55" s="23">
        <v>0</v>
      </c>
      <c r="E55" s="23">
        <v>168164.75</v>
      </c>
      <c r="F55" s="23">
        <v>1753718.85</v>
      </c>
      <c r="G55" s="23">
        <v>799312.83</v>
      </c>
      <c r="H55" s="23">
        <v>1396126.51</v>
      </c>
      <c r="I55" s="23"/>
      <c r="J55" s="23"/>
      <c r="K55" s="23"/>
      <c r="L55" s="23"/>
      <c r="M55" s="23"/>
      <c r="N55" s="23"/>
      <c r="O55" s="25">
        <f t="shared" si="2"/>
        <v>4117322.9400000004</v>
      </c>
    </row>
    <row r="56" spans="1:15" x14ac:dyDescent="0.25">
      <c r="A56" s="24" t="s">
        <v>131</v>
      </c>
      <c r="B56" s="25">
        <f>+B57</f>
        <v>16200000</v>
      </c>
      <c r="C56" s="25">
        <f t="shared" ref="C56:F56" si="35">+C57</f>
        <v>76535.62</v>
      </c>
      <c r="D56" s="25">
        <f t="shared" si="35"/>
        <v>77494.86</v>
      </c>
      <c r="E56" s="25">
        <f t="shared" si="35"/>
        <v>81826.789999999994</v>
      </c>
      <c r="F56" s="25">
        <f t="shared" si="35"/>
        <v>82527.92</v>
      </c>
      <c r="G56" s="25">
        <f t="shared" ref="G56" si="36">+G57</f>
        <v>84295.69</v>
      </c>
      <c r="H56" s="25">
        <f t="shared" ref="H56" si="37">+H57</f>
        <v>86141.41</v>
      </c>
      <c r="I56" s="25">
        <f t="shared" ref="I56" si="38">+I57</f>
        <v>0</v>
      </c>
      <c r="J56" s="25">
        <f t="shared" ref="J56" si="39">+J57</f>
        <v>0</v>
      </c>
      <c r="K56" s="25">
        <f t="shared" ref="K56" si="40">+K57</f>
        <v>0</v>
      </c>
      <c r="L56" s="25">
        <f t="shared" ref="L56" si="41">+L57</f>
        <v>0</v>
      </c>
      <c r="M56" s="25">
        <f t="shared" ref="M56" si="42">+M57</f>
        <v>0</v>
      </c>
      <c r="N56" s="25">
        <f t="shared" ref="N56" si="43">+N57</f>
        <v>0</v>
      </c>
      <c r="O56" s="25">
        <f t="shared" si="2"/>
        <v>488822.28999999992</v>
      </c>
    </row>
    <row r="57" spans="1:15" x14ac:dyDescent="0.25">
      <c r="A57" s="14" t="s">
        <v>132</v>
      </c>
      <c r="B57" s="23">
        <v>16200000</v>
      </c>
      <c r="C57" s="23">
        <v>76535.62</v>
      </c>
      <c r="D57" s="23">
        <v>77494.86</v>
      </c>
      <c r="E57" s="23">
        <v>81826.789999999994</v>
      </c>
      <c r="F57" s="23">
        <v>82527.92</v>
      </c>
      <c r="G57" s="23">
        <v>84295.69</v>
      </c>
      <c r="H57" s="23">
        <v>86141.41</v>
      </c>
      <c r="I57" s="23"/>
      <c r="J57" s="23"/>
      <c r="K57" s="23"/>
      <c r="L57" s="23"/>
      <c r="M57" s="23"/>
      <c r="N57" s="23"/>
      <c r="O57" s="25">
        <f t="shared" si="2"/>
        <v>488822.28999999992</v>
      </c>
    </row>
    <row r="58" spans="1:15" x14ac:dyDescent="0.25">
      <c r="A58" s="13" t="s">
        <v>133</v>
      </c>
      <c r="B58" s="82">
        <v>25000000</v>
      </c>
      <c r="C58" s="79"/>
      <c r="D58" s="79"/>
      <c r="E58" s="79"/>
      <c r="F58" s="79"/>
      <c r="G58" s="57"/>
      <c r="H58" s="57"/>
      <c r="I58" s="57"/>
      <c r="J58" s="57"/>
      <c r="K58" s="57"/>
      <c r="L58" s="57"/>
      <c r="M58" s="57"/>
      <c r="N58" s="57"/>
      <c r="O58" s="25">
        <f t="shared" si="2"/>
        <v>0</v>
      </c>
    </row>
    <row r="59" spans="1:15" x14ac:dyDescent="0.25">
      <c r="B59" s="83">
        <f t="shared" ref="B59:N59" si="44">+B56+B48+B4</f>
        <v>261000000</v>
      </c>
      <c r="C59" s="83">
        <f t="shared" si="44"/>
        <v>10424559.800000001</v>
      </c>
      <c r="D59" s="83">
        <f t="shared" si="44"/>
        <v>13292887.469999999</v>
      </c>
      <c r="E59" s="83">
        <f t="shared" si="44"/>
        <v>16050055.300000001</v>
      </c>
      <c r="F59" s="83">
        <f t="shared" si="44"/>
        <v>17808688.890000001</v>
      </c>
      <c r="G59" s="83">
        <f>+G56+G48+G4</f>
        <v>16741350.01</v>
      </c>
      <c r="H59" s="83">
        <f t="shared" si="44"/>
        <v>25541254.460000005</v>
      </c>
      <c r="I59" s="83">
        <f t="shared" si="44"/>
        <v>0</v>
      </c>
      <c r="J59" s="83">
        <f t="shared" si="44"/>
        <v>0</v>
      </c>
      <c r="K59" s="83">
        <f t="shared" si="44"/>
        <v>0</v>
      </c>
      <c r="L59" s="83">
        <f t="shared" si="44"/>
        <v>0</v>
      </c>
      <c r="M59" s="83">
        <f t="shared" si="44"/>
        <v>0</v>
      </c>
      <c r="N59" s="83">
        <f t="shared" si="44"/>
        <v>0</v>
      </c>
      <c r="O59" s="25">
        <f t="shared" si="2"/>
        <v>99858795.930000007</v>
      </c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</sheetData>
  <sheetProtection algorithmName="SHA-512" hashValue="fHvX+i5w6TpJ8MEOvw+NI/5QAyy5joWVkCjG1jxdGkunpn19fxbdfSCJF0jOVqV/BQpIGQAIyTWaUPFxS8A0GA==" saltValue="IJMry8j3nTRcp2eKyXIDIg==" spinCount="100000" sheet="1" objects="1" scenarios="1"/>
  <mergeCells count="1">
    <mergeCell ref="G1:J1"/>
  </mergeCells>
  <hyperlinks>
    <hyperlink ref="G1:J1" location="INDICE!A1" display="VOLVER INDICE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9"/>
  <sheetViews>
    <sheetView workbookViewId="0">
      <selection activeCell="G1" sqref="G1:H1"/>
    </sheetView>
  </sheetViews>
  <sheetFormatPr defaultColWidth="9.140625" defaultRowHeight="15" x14ac:dyDescent="0.25"/>
  <cols>
    <col min="1" max="1" width="49.28515625" customWidth="1"/>
    <col min="2" max="8" width="16.5703125" customWidth="1"/>
    <col min="10" max="10" width="18.5703125" customWidth="1"/>
    <col min="11" max="11" width="16.7109375" customWidth="1"/>
  </cols>
  <sheetData>
    <row r="1" spans="1:10" ht="66.75" customHeight="1" x14ac:dyDescent="0.35">
      <c r="A1" s="212" t="s">
        <v>186</v>
      </c>
      <c r="B1" s="212"/>
      <c r="C1" s="212"/>
      <c r="D1" s="212"/>
      <c r="E1" s="212"/>
      <c r="F1" s="212"/>
      <c r="G1" s="210" t="s">
        <v>187</v>
      </c>
      <c r="H1" s="210"/>
    </row>
    <row r="2" spans="1:10" ht="25.5" x14ac:dyDescent="0.25">
      <c r="B2" s="48">
        <v>2010</v>
      </c>
      <c r="C2" s="48">
        <v>2011</v>
      </c>
      <c r="D2" s="48">
        <v>2012</v>
      </c>
      <c r="E2" s="48">
        <v>2013</v>
      </c>
      <c r="F2" s="48">
        <v>2014</v>
      </c>
      <c r="G2" s="48">
        <v>2015</v>
      </c>
      <c r="H2" s="48" t="str">
        <f xml:space="preserve"> "  Periodo ENERO  /   " &amp;  EJECICIONEROGACIONES!H2</f>
        <v xml:space="preserve">  Periodo ENERO  /   JUNIO</v>
      </c>
    </row>
    <row r="3" spans="1:10" x14ac:dyDescent="0.25">
      <c r="A3" s="49" t="s">
        <v>4</v>
      </c>
      <c r="B3" s="50">
        <v>44161458.969999999</v>
      </c>
      <c r="C3" s="50">
        <v>63342612.530000001</v>
      </c>
      <c r="D3" s="50">
        <v>84521715.780000016</v>
      </c>
      <c r="E3" s="50">
        <v>112678797.61</v>
      </c>
      <c r="F3" s="51">
        <v>159029318.48000002</v>
      </c>
      <c r="G3" s="51">
        <f>+G4+G7</f>
        <v>196667031.74000001</v>
      </c>
      <c r="H3" s="51">
        <f>+H4+H7</f>
        <v>132691146.91</v>
      </c>
    </row>
    <row r="4" spans="1:10" x14ac:dyDescent="0.25">
      <c r="A4" t="s">
        <v>151</v>
      </c>
      <c r="B4" s="52">
        <v>24561058.190000001</v>
      </c>
      <c r="C4" s="52">
        <v>33453997.130000003</v>
      </c>
      <c r="D4" s="52">
        <v>42260857.890000001</v>
      </c>
      <c r="E4" s="52">
        <v>57702570.700000003</v>
      </c>
      <c r="F4" s="53">
        <v>82013420.450000003</v>
      </c>
      <c r="G4" s="53">
        <f>SUM(G5:G6)</f>
        <v>99853978.840000004</v>
      </c>
      <c r="H4" s="53">
        <f>SUM(H5:H6)</f>
        <v>61321624.910000004</v>
      </c>
    </row>
    <row r="5" spans="1:10" x14ac:dyDescent="0.25">
      <c r="A5" t="s">
        <v>152</v>
      </c>
      <c r="B5" s="52">
        <v>22245890.280000001</v>
      </c>
      <c r="C5" s="52">
        <v>30248617.180000003</v>
      </c>
      <c r="D5" s="53">
        <v>37556874.880000003</v>
      </c>
      <c r="E5" s="53">
        <v>47288502</v>
      </c>
      <c r="F5" s="53">
        <v>70249189.370000005</v>
      </c>
      <c r="G5" s="53">
        <v>88544089.530000001</v>
      </c>
      <c r="H5" s="53">
        <f>+CALCULODERECURSOS!O10</f>
        <v>54084231.310000002</v>
      </c>
    </row>
    <row r="6" spans="1:10" x14ac:dyDescent="0.25">
      <c r="A6" t="s">
        <v>153</v>
      </c>
      <c r="B6" s="52">
        <v>2315167.91</v>
      </c>
      <c r="C6" s="52">
        <v>3205379.95</v>
      </c>
      <c r="D6" s="53">
        <v>4703983.01</v>
      </c>
      <c r="E6" s="53">
        <v>10414068.699999999</v>
      </c>
      <c r="F6" s="53">
        <v>11764231.08</v>
      </c>
      <c r="G6" s="53">
        <v>11309889.310000001</v>
      </c>
      <c r="H6" s="53">
        <f>+CALCULODERECURSOS!O37</f>
        <v>7237393.5999999996</v>
      </c>
    </row>
    <row r="7" spans="1:10" x14ac:dyDescent="0.25">
      <c r="A7" s="54" t="s">
        <v>154</v>
      </c>
      <c r="B7" s="55">
        <v>19600400.780000001</v>
      </c>
      <c r="C7" s="55">
        <v>29888615.399999999</v>
      </c>
      <c r="D7" s="56">
        <v>39933579.920000002</v>
      </c>
      <c r="E7" s="56">
        <v>54976226.909999996</v>
      </c>
      <c r="F7" s="56">
        <v>77015898.030000001</v>
      </c>
      <c r="G7" s="56">
        <f>SUM(G8:G9)</f>
        <v>96813052.900000006</v>
      </c>
      <c r="H7" s="56">
        <f>SUM(H8:H9)</f>
        <v>71369522</v>
      </c>
    </row>
    <row r="8" spans="1:10" x14ac:dyDescent="0.25">
      <c r="A8" t="s">
        <v>155</v>
      </c>
      <c r="B8" s="52">
        <v>6220274.1799999997</v>
      </c>
      <c r="C8" s="52">
        <v>9861927.3599999994</v>
      </c>
      <c r="D8" s="53">
        <v>13097315</v>
      </c>
      <c r="E8" s="53">
        <v>20287490.370000001</v>
      </c>
      <c r="F8" s="53">
        <v>26228835.289999999</v>
      </c>
      <c r="G8" s="53">
        <v>36374519.280000001</v>
      </c>
      <c r="H8" s="53">
        <f>+CALCULODERECURSOS!O52</f>
        <v>24450273.880000003</v>
      </c>
    </row>
    <row r="9" spans="1:10" x14ac:dyDescent="0.25">
      <c r="A9" t="s">
        <v>156</v>
      </c>
      <c r="B9" s="52">
        <v>13380126.6</v>
      </c>
      <c r="C9" s="52">
        <v>20026688.039999999</v>
      </c>
      <c r="D9" s="53">
        <v>26836264.920000002</v>
      </c>
      <c r="E9" s="53">
        <v>34688736.539999999</v>
      </c>
      <c r="F9" s="53">
        <v>50787062.740000002</v>
      </c>
      <c r="G9" s="53">
        <v>60438533.619999997</v>
      </c>
      <c r="H9" s="53">
        <f>+CALCULODERECURSOS!O57</f>
        <v>46919248.120000005</v>
      </c>
    </row>
    <row r="10" spans="1:10" x14ac:dyDescent="0.25">
      <c r="A10" s="49" t="s">
        <v>157</v>
      </c>
      <c r="B10" s="50">
        <v>37172023.099999994</v>
      </c>
      <c r="C10" s="50">
        <v>54774856.18</v>
      </c>
      <c r="D10" s="50">
        <v>70958681.680000007</v>
      </c>
      <c r="E10" s="50">
        <v>100528069.18000001</v>
      </c>
      <c r="F10" s="50">
        <v>140402641.97</v>
      </c>
      <c r="G10" s="50">
        <f>SUM(G11:G15)</f>
        <v>177678667.57000002</v>
      </c>
      <c r="H10" s="50">
        <f>SUM(H11:H15)</f>
        <v>89644808.920000002</v>
      </c>
    </row>
    <row r="11" spans="1:10" x14ac:dyDescent="0.25">
      <c r="A11" t="s">
        <v>158</v>
      </c>
      <c r="B11" s="52">
        <v>19985180.140000001</v>
      </c>
      <c r="C11" s="52">
        <v>27898012.789999999</v>
      </c>
      <c r="D11" s="52">
        <v>38619276.100000001</v>
      </c>
      <c r="E11" s="52">
        <v>53502006.259999998</v>
      </c>
      <c r="F11" s="52">
        <v>73625650.760000005</v>
      </c>
      <c r="G11" s="53">
        <v>94473491.930000007</v>
      </c>
      <c r="H11" s="53">
        <f>+EJECICIONEROGACIONES!O6</f>
        <v>55027073.440000005</v>
      </c>
    </row>
    <row r="12" spans="1:10" x14ac:dyDescent="0.25">
      <c r="A12" t="s">
        <v>159</v>
      </c>
      <c r="B12" s="52">
        <v>14991078.27</v>
      </c>
      <c r="C12" s="52">
        <v>22809496.370000001</v>
      </c>
      <c r="D12" s="52">
        <v>28738901.920000002</v>
      </c>
      <c r="E12" s="52">
        <v>42638388.920000002</v>
      </c>
      <c r="F12" s="52">
        <v>62125659.310000002</v>
      </c>
      <c r="G12" s="53">
        <v>76515388.170000002</v>
      </c>
      <c r="H12" s="53">
        <f>+EJECICIONEROGACIONES!O39</f>
        <v>32864734.560000002</v>
      </c>
    </row>
    <row r="13" spans="1:10" x14ac:dyDescent="0.25">
      <c r="A13" t="s">
        <v>160</v>
      </c>
      <c r="B13" s="52">
        <v>337643.91</v>
      </c>
      <c r="C13" s="52">
        <v>214277.92</v>
      </c>
      <c r="D13" s="52">
        <v>6892.85</v>
      </c>
      <c r="E13" s="52">
        <v>35968.21</v>
      </c>
      <c r="F13" s="52">
        <v>674074.99</v>
      </c>
      <c r="G13" s="53">
        <v>392962.16</v>
      </c>
      <c r="H13" s="53">
        <f>+EJECICIONEROGACIONES!O42</f>
        <v>145270.53</v>
      </c>
    </row>
    <row r="14" spans="1:10" x14ac:dyDescent="0.25">
      <c r="A14" t="s">
        <v>161</v>
      </c>
      <c r="B14" s="52">
        <v>1858120.78</v>
      </c>
      <c r="C14" s="52">
        <v>3853069.1</v>
      </c>
      <c r="D14" s="52">
        <v>3593610.81</v>
      </c>
      <c r="E14" s="52">
        <v>4351705.79</v>
      </c>
      <c r="F14" s="52">
        <v>3977256.91</v>
      </c>
      <c r="G14" s="53">
        <v>6296825.3099999996</v>
      </c>
      <c r="H14" s="53">
        <f>+EJECICIONEROGACIONES!O44</f>
        <v>1607730.3900000001</v>
      </c>
    </row>
    <row r="15" spans="1:10" ht="15.75" thickBot="1" x14ac:dyDescent="0.3">
      <c r="A15" s="2" t="s">
        <v>162</v>
      </c>
      <c r="B15" s="52"/>
      <c r="C15" s="52"/>
      <c r="D15" s="52"/>
      <c r="E15" s="52"/>
      <c r="F15" s="52"/>
      <c r="G15" s="53"/>
      <c r="H15" s="53"/>
      <c r="J15" s="90"/>
    </row>
    <row r="16" spans="1:10" ht="15.75" thickBot="1" x14ac:dyDescent="0.3">
      <c r="A16" s="87" t="s">
        <v>163</v>
      </c>
      <c r="B16" s="88">
        <v>6989435.8700000048</v>
      </c>
      <c r="C16" s="88">
        <v>8567756.3500000015</v>
      </c>
      <c r="D16" s="88">
        <v>13563034.100000009</v>
      </c>
      <c r="E16" s="88">
        <v>12150728.429999992</v>
      </c>
      <c r="F16" s="88">
        <v>18626676.51000002</v>
      </c>
      <c r="G16" s="88">
        <f>+G3-G10</f>
        <v>18988364.169999987</v>
      </c>
      <c r="H16" s="89">
        <f>+H3-H10</f>
        <v>43046337.989999995</v>
      </c>
      <c r="J16" s="90"/>
    </row>
    <row r="17" spans="1:11" x14ac:dyDescent="0.25">
      <c r="A17" s="57" t="s">
        <v>164</v>
      </c>
      <c r="B17" s="58">
        <v>978884.84</v>
      </c>
      <c r="C17" s="58">
        <v>627521.14</v>
      </c>
      <c r="D17" s="58">
        <v>248444.45</v>
      </c>
      <c r="E17" s="58">
        <v>1974678</v>
      </c>
      <c r="F17" s="58">
        <v>3224836.58</v>
      </c>
      <c r="G17" s="58">
        <v>0</v>
      </c>
      <c r="H17" s="58">
        <v>0</v>
      </c>
    </row>
    <row r="18" spans="1:11" x14ac:dyDescent="0.25">
      <c r="A18" s="59" t="s">
        <v>165</v>
      </c>
      <c r="B18" s="60">
        <v>978884.84</v>
      </c>
      <c r="C18" s="60">
        <v>627521.14</v>
      </c>
      <c r="D18" s="60">
        <v>248444.45</v>
      </c>
      <c r="E18" s="60">
        <v>1974678</v>
      </c>
      <c r="F18" s="61">
        <v>3224836.58</v>
      </c>
      <c r="G18" s="61"/>
      <c r="H18" s="61">
        <f>+CALCULODERECURSOS!O61</f>
        <v>0</v>
      </c>
    </row>
    <row r="19" spans="1:11" x14ac:dyDescent="0.25">
      <c r="A19" s="57" t="s">
        <v>166</v>
      </c>
      <c r="B19" s="58">
        <v>8626324.8900000006</v>
      </c>
      <c r="C19" s="58">
        <v>16537421.389999999</v>
      </c>
      <c r="D19" s="58">
        <v>9113559.7899999991</v>
      </c>
      <c r="E19" s="58">
        <v>20530341.719999999</v>
      </c>
      <c r="F19" s="58">
        <v>29333894.899999999</v>
      </c>
      <c r="G19" s="58">
        <f>+G21+G20</f>
        <v>35121477.870000005</v>
      </c>
      <c r="H19" s="58">
        <f>+H21+H20</f>
        <v>9725164.7199999988</v>
      </c>
    </row>
    <row r="20" spans="1:11" x14ac:dyDescent="0.25">
      <c r="A20" t="s">
        <v>167</v>
      </c>
      <c r="B20" s="52">
        <v>1246227.08</v>
      </c>
      <c r="C20" s="52">
        <v>925103.95</v>
      </c>
      <c r="D20" s="52">
        <v>1217415.07</v>
      </c>
      <c r="E20" s="52">
        <v>3250651.02</v>
      </c>
      <c r="F20" s="52">
        <v>5992916.4100000001</v>
      </c>
      <c r="G20" s="52">
        <v>5606456.3399999999</v>
      </c>
      <c r="H20" s="52">
        <f>+EJECICIONEROGACIONES!O50</f>
        <v>5607841.7799999993</v>
      </c>
    </row>
    <row r="21" spans="1:11" x14ac:dyDescent="0.25">
      <c r="A21" t="s">
        <v>168</v>
      </c>
      <c r="B21" s="52">
        <v>7380097.8099999996</v>
      </c>
      <c r="C21" s="52">
        <v>15612317.439999999</v>
      </c>
      <c r="D21" s="52">
        <v>7896144.7199999997</v>
      </c>
      <c r="E21" s="52">
        <v>17279690.699999999</v>
      </c>
      <c r="F21" s="52">
        <v>23340978.489999998</v>
      </c>
      <c r="G21" s="52">
        <v>29515021.530000001</v>
      </c>
      <c r="H21" s="52">
        <f>+EJECICIONEROGACIONES!O54</f>
        <v>4117322.9400000004</v>
      </c>
    </row>
    <row r="22" spans="1:11" x14ac:dyDescent="0.25">
      <c r="A22" s="49" t="s">
        <v>169</v>
      </c>
      <c r="B22" s="50">
        <v>45140343.810000002</v>
      </c>
      <c r="C22" s="50">
        <v>63970133.670000002</v>
      </c>
      <c r="D22" s="50">
        <v>84770160.230000019</v>
      </c>
      <c r="E22" s="50">
        <v>114653475.61</v>
      </c>
      <c r="F22" s="50">
        <v>162254155.06000003</v>
      </c>
      <c r="G22" s="50">
        <f>+G3+G17</f>
        <v>196667031.74000001</v>
      </c>
      <c r="H22" s="50">
        <f>+H3+H17</f>
        <v>132691146.91</v>
      </c>
      <c r="J22" s="83"/>
      <c r="K22" s="53"/>
    </row>
    <row r="23" spans="1:11" ht="15.75" thickBot="1" x14ac:dyDescent="0.3">
      <c r="A23" s="49" t="s">
        <v>170</v>
      </c>
      <c r="B23" s="50">
        <v>45798347.989999995</v>
      </c>
      <c r="C23" s="50">
        <v>71312277.569999993</v>
      </c>
      <c r="D23" s="50">
        <v>80072241.469999999</v>
      </c>
      <c r="E23" s="50">
        <v>121058410.90000001</v>
      </c>
      <c r="F23" s="50">
        <v>169736536.87</v>
      </c>
      <c r="G23" s="50">
        <f>+G19+G10</f>
        <v>212800145.44000003</v>
      </c>
      <c r="H23" s="50">
        <f>+H19+H10</f>
        <v>99369973.640000001</v>
      </c>
      <c r="J23" s="83"/>
      <c r="K23" s="53"/>
    </row>
    <row r="24" spans="1:11" ht="15.75" thickBot="1" x14ac:dyDescent="0.3">
      <c r="A24" s="84" t="s">
        <v>171</v>
      </c>
      <c r="B24" s="85">
        <v>-658004.17999999225</v>
      </c>
      <c r="C24" s="85">
        <v>-7342143.8999999911</v>
      </c>
      <c r="D24" s="85">
        <v>4697918.7600000203</v>
      </c>
      <c r="E24" s="85">
        <v>-6404935.2900000066</v>
      </c>
      <c r="F24" s="85">
        <v>-7482381.8099999726</v>
      </c>
      <c r="G24" s="85">
        <f>+G22-G23</f>
        <v>-16133113.700000018</v>
      </c>
      <c r="H24" s="86">
        <f>+H22-H23</f>
        <v>33321173.269999996</v>
      </c>
    </row>
    <row r="25" spans="1:11" x14ac:dyDescent="0.25">
      <c r="A25" s="62" t="s">
        <v>172</v>
      </c>
      <c r="B25" s="63">
        <v>5292172.62</v>
      </c>
      <c r="C25" s="63">
        <v>4124525.18</v>
      </c>
      <c r="D25" s="63">
        <v>2957430.51</v>
      </c>
      <c r="E25" s="63">
        <v>8254683.0800000001</v>
      </c>
      <c r="F25" s="63">
        <v>12402239.809999999</v>
      </c>
      <c r="G25" s="63">
        <v>14184969.66</v>
      </c>
      <c r="H25" s="63">
        <f>SUM(H26:H28)</f>
        <v>1285106.32</v>
      </c>
      <c r="J25" s="53"/>
    </row>
    <row r="26" spans="1:11" x14ac:dyDescent="0.25">
      <c r="A26" t="s">
        <v>173</v>
      </c>
      <c r="B26" s="52">
        <v>1725000</v>
      </c>
      <c r="C26" s="52"/>
      <c r="D26" s="52"/>
      <c r="E26" s="52">
        <v>2500000</v>
      </c>
      <c r="F26" s="52">
        <v>6928595</v>
      </c>
      <c r="G26" s="52">
        <v>0</v>
      </c>
      <c r="H26" s="52"/>
    </row>
    <row r="27" spans="1:11" x14ac:dyDescent="0.25">
      <c r="A27" s="59" t="s">
        <v>89</v>
      </c>
      <c r="B27" s="60">
        <v>2623760.67</v>
      </c>
      <c r="C27" s="60">
        <v>3182506.15</v>
      </c>
      <c r="D27" s="60">
        <v>2729685.51</v>
      </c>
      <c r="E27" s="60">
        <v>3471835.5</v>
      </c>
      <c r="F27" s="61">
        <v>5473644.8099999996</v>
      </c>
      <c r="G27" s="61"/>
      <c r="H27" s="61"/>
    </row>
    <row r="28" spans="1:11" x14ac:dyDescent="0.25">
      <c r="A28" t="s">
        <v>174</v>
      </c>
      <c r="B28" s="52">
        <v>943411.95000000019</v>
      </c>
      <c r="C28" s="53">
        <v>942019.03000000026</v>
      </c>
      <c r="D28" s="52">
        <v>227745</v>
      </c>
      <c r="E28" s="53">
        <v>2282847.58</v>
      </c>
      <c r="F28" s="52"/>
      <c r="G28" s="52"/>
      <c r="H28" s="52">
        <f>+CALCULODERECURSOS!O63</f>
        <v>1285106.32</v>
      </c>
    </row>
    <row r="29" spans="1:11" x14ac:dyDescent="0.25">
      <c r="A29" s="57" t="s">
        <v>175</v>
      </c>
      <c r="B29" s="58">
        <v>2112710.92</v>
      </c>
      <c r="C29" s="58">
        <v>1609261.66</v>
      </c>
      <c r="D29" s="58">
        <v>5887013.1699999999</v>
      </c>
      <c r="E29" s="58">
        <v>1418946.22</v>
      </c>
      <c r="F29" s="58">
        <v>2949846.06</v>
      </c>
      <c r="G29" s="58">
        <f>+G30</f>
        <v>5634893.6299999999</v>
      </c>
      <c r="H29" s="58">
        <f>+H30</f>
        <v>488822.28999999992</v>
      </c>
    </row>
    <row r="30" spans="1:11" x14ac:dyDescent="0.25">
      <c r="A30" t="s">
        <v>176</v>
      </c>
      <c r="B30" s="52">
        <v>2112710.92</v>
      </c>
      <c r="C30" s="52">
        <v>1609261.66</v>
      </c>
      <c r="D30" s="52">
        <v>5887013.1699999999</v>
      </c>
      <c r="E30" s="52">
        <v>1418946.22</v>
      </c>
      <c r="F30" s="52">
        <v>2949846.06</v>
      </c>
      <c r="G30" s="52">
        <v>5634893.6299999999</v>
      </c>
      <c r="H30" s="52">
        <f>+EJECICIONEROGACIONES!O57</f>
        <v>488822.28999999992</v>
      </c>
      <c r="J30" s="53"/>
    </row>
    <row r="31" spans="1:11" ht="15.75" thickBot="1" x14ac:dyDescent="0.3">
      <c r="A31" s="64" t="s">
        <v>177</v>
      </c>
      <c r="B31" s="57"/>
      <c r="C31" s="57"/>
      <c r="D31" s="57"/>
      <c r="E31" s="57"/>
      <c r="F31" s="57"/>
      <c r="G31" s="65">
        <v>-2584379.81</v>
      </c>
      <c r="H31" s="57"/>
    </row>
    <row r="32" spans="1:11" ht="15.75" thickBot="1" x14ac:dyDescent="0.3">
      <c r="A32" s="84" t="s">
        <v>178</v>
      </c>
      <c r="B32" s="85">
        <v>2521457.5200000079</v>
      </c>
      <c r="C32" s="85">
        <v>-4826880.3799999906</v>
      </c>
      <c r="D32" s="85">
        <v>1768336.1000000201</v>
      </c>
      <c r="E32" s="85">
        <v>430801.56999999355</v>
      </c>
      <c r="F32" s="85">
        <v>1970011.940000026</v>
      </c>
      <c r="G32" s="85">
        <f>+G24+G25-G29+G31</f>
        <v>-10167417.480000017</v>
      </c>
      <c r="H32" s="86">
        <f>+H24+H25-H29</f>
        <v>34117457.299999997</v>
      </c>
    </row>
    <row r="33" spans="1:8" ht="15.75" x14ac:dyDescent="0.25">
      <c r="A33" s="211" t="s">
        <v>179</v>
      </c>
      <c r="B33" s="211"/>
      <c r="C33" s="211"/>
      <c r="D33" s="211"/>
      <c r="E33" s="211"/>
      <c r="F33" s="211"/>
      <c r="G33" s="211"/>
      <c r="H33" s="211"/>
    </row>
    <row r="34" spans="1:8" x14ac:dyDescent="0.25">
      <c r="A34" s="66" t="s">
        <v>180</v>
      </c>
      <c r="B34" s="67">
        <f t="shared" ref="B34:H34" si="0">+B4/B3</f>
        <v>0.55616500819605963</v>
      </c>
      <c r="C34" s="67">
        <f t="shared" si="0"/>
        <v>0.52814362707499152</v>
      </c>
      <c r="D34" s="67">
        <f t="shared" si="0"/>
        <v>0.49999999999999989</v>
      </c>
      <c r="E34" s="67">
        <f t="shared" si="0"/>
        <v>0.51209785624193616</v>
      </c>
      <c r="F34" s="67">
        <f t="shared" si="0"/>
        <v>0.5157125820187316</v>
      </c>
      <c r="G34" s="67">
        <f t="shared" si="0"/>
        <v>0.50773115329268859</v>
      </c>
      <c r="H34" s="67">
        <f t="shared" si="0"/>
        <v>0.46213802757762301</v>
      </c>
    </row>
    <row r="35" spans="1:8" x14ac:dyDescent="0.25">
      <c r="A35" s="68" t="s">
        <v>181</v>
      </c>
      <c r="B35" s="69">
        <f t="shared" ref="B35:H35" si="1">+B11/B10</f>
        <v>0.53764036695651374</v>
      </c>
      <c r="C35" s="69">
        <f t="shared" si="1"/>
        <v>0.50932151603140907</v>
      </c>
      <c r="D35" s="69">
        <f t="shared" si="1"/>
        <v>0.54425019159967003</v>
      </c>
      <c r="E35" s="69">
        <f t="shared" si="1"/>
        <v>0.53220962758373747</v>
      </c>
      <c r="F35" s="69">
        <f t="shared" si="1"/>
        <v>0.52438935426679278</v>
      </c>
      <c r="G35" s="69">
        <f t="shared" si="1"/>
        <v>0.53170981762782699</v>
      </c>
      <c r="H35" s="69">
        <f t="shared" si="1"/>
        <v>0.6138344663002937</v>
      </c>
    </row>
    <row r="36" spans="1:8" ht="18" x14ac:dyDescent="0.25">
      <c r="A36" s="66" t="s">
        <v>182</v>
      </c>
      <c r="B36" s="70">
        <f t="shared" ref="B36:H36" si="2">+B12/B10</f>
        <v>0.40328927563805378</v>
      </c>
      <c r="C36" s="70">
        <f t="shared" si="2"/>
        <v>0.41642275234906884</v>
      </c>
      <c r="D36" s="70">
        <f t="shared" si="2"/>
        <v>0.40500896070198805</v>
      </c>
      <c r="E36" s="70">
        <f t="shared" si="2"/>
        <v>0.4241441148506897</v>
      </c>
      <c r="F36" s="70">
        <f t="shared" si="2"/>
        <v>0.44248212454060848</v>
      </c>
      <c r="G36" s="70">
        <f t="shared" si="2"/>
        <v>0.43063913758726974</v>
      </c>
      <c r="H36" s="71">
        <f t="shared" si="2"/>
        <v>0.36661057071724973</v>
      </c>
    </row>
    <row r="37" spans="1:8" x14ac:dyDescent="0.25">
      <c r="A37" s="68" t="s">
        <v>183</v>
      </c>
      <c r="B37" s="69">
        <f t="shared" ref="B37:H37" si="3">+B24/B3</f>
        <v>-1.4899964705581652E-2</v>
      </c>
      <c r="C37" s="69">
        <f t="shared" si="3"/>
        <v>-0.11591160526450725</v>
      </c>
      <c r="D37" s="69">
        <f t="shared" si="3"/>
        <v>5.5582387515986362E-2</v>
      </c>
      <c r="E37" s="69">
        <f t="shared" si="3"/>
        <v>-5.6842417791575568E-2</v>
      </c>
      <c r="F37" s="69">
        <f t="shared" si="3"/>
        <v>-4.7050329345031922E-2</v>
      </c>
      <c r="G37" s="69">
        <f t="shared" si="3"/>
        <v>-8.2032629247837024E-2</v>
      </c>
      <c r="H37" s="69">
        <f t="shared" si="3"/>
        <v>0.25111828517542806</v>
      </c>
    </row>
    <row r="38" spans="1:8" x14ac:dyDescent="0.25">
      <c r="A38" s="66" t="s">
        <v>184</v>
      </c>
      <c r="B38" s="67">
        <f t="shared" ref="B38:H38" si="4">+B32/B22</f>
        <v>5.5858181555130865E-2</v>
      </c>
      <c r="C38" s="67">
        <f t="shared" si="4"/>
        <v>-7.5455217975629263E-2</v>
      </c>
      <c r="D38" s="67">
        <f t="shared" si="4"/>
        <v>2.086036047592852E-2</v>
      </c>
      <c r="E38" s="67">
        <f t="shared" si="4"/>
        <v>3.7574226835075494E-3</v>
      </c>
      <c r="F38" s="67">
        <f t="shared" si="4"/>
        <v>1.214151920652839E-2</v>
      </c>
      <c r="G38" s="67">
        <f t="shared" si="4"/>
        <v>-5.1698636980709922E-2</v>
      </c>
      <c r="H38" s="67">
        <f t="shared" si="4"/>
        <v>0.25711931876766986</v>
      </c>
    </row>
    <row r="39" spans="1:8" x14ac:dyDescent="0.25">
      <c r="A39" s="72" t="s">
        <v>185</v>
      </c>
      <c r="B39" s="73">
        <f>+B10/B22</f>
        <v>0.82347673860129578</v>
      </c>
      <c r="C39" s="73">
        <f t="shared" ref="C39:H39" si="5">+C10/C22</f>
        <v>0.85625670977279356</v>
      </c>
      <c r="D39" s="73">
        <f t="shared" si="5"/>
        <v>0.83707145872407884</v>
      </c>
      <c r="E39" s="73">
        <f t="shared" si="5"/>
        <v>0.87679914320217966</v>
      </c>
      <c r="F39" s="73">
        <f t="shared" si="5"/>
        <v>0.86532540210190889</v>
      </c>
      <c r="G39" s="73">
        <f t="shared" si="5"/>
        <v>0.90344917497355026</v>
      </c>
      <c r="H39" s="73">
        <f t="shared" si="5"/>
        <v>0.6755899772333952</v>
      </c>
    </row>
  </sheetData>
  <sheetProtection algorithmName="SHA-512" hashValue="FRYffA9e0EJ9LbXH+kTAtFDC7MRulmuOymeb4G2yTjYYdt9BKz6ZiaZ+kHZOJR2GH6FAwLBl1EfJl/NGmTUguQ==" saltValue="YTeyn+C9TxZj8e3L4jTF5Q==" spinCount="100000" sheet="1" objects="1" scenarios="1"/>
  <mergeCells count="3">
    <mergeCell ref="A33:H33"/>
    <mergeCell ref="A1:F1"/>
    <mergeCell ref="G1:H1"/>
  </mergeCells>
  <conditionalFormatting sqref="B36:H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{12A6F8ED-AFDB-463D-AE35-B7521E76FB2D}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B39:H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{083C6F44-9738-4869-986C-53058D074855}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38:H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{FC53F6F9-8F6F-4BED-9B47-2C8EEEB38992}</x14:id>
        </ext>
      </extLst>
    </cfRule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hyperlinks>
    <hyperlink ref="G1:H1" location="INDICE!A1" display="Volver índice"/>
  </hyperlinks>
  <pageMargins left="0.7" right="0.7" top="0.75" bottom="0.75" header="0.3" footer="0.3"/>
  <pageSetup paperSize="9" scale="77" orientation="landscape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A6F8ED-AFDB-463D-AE35-B7521E76FB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B36:H36</xm:sqref>
        </x14:conditionalFormatting>
        <x14:conditionalFormatting xmlns:xm="http://schemas.microsoft.com/office/excel/2006/main">
          <x14:cfRule type="dataBar" id="{083C6F44-9738-4869-986C-53058D0748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B39:H39</xm:sqref>
        </x14:conditionalFormatting>
        <x14:conditionalFormatting xmlns:xm="http://schemas.microsoft.com/office/excel/2006/main">
          <x14:cfRule type="dataBar" id="{FC53F6F9-8F6F-4BED-9B47-2C8EEEB38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B38:H38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I20"/>
  <sheetViews>
    <sheetView workbookViewId="0">
      <selection activeCell="E1" sqref="E1:F1"/>
    </sheetView>
  </sheetViews>
  <sheetFormatPr defaultColWidth="9.140625" defaultRowHeight="15" x14ac:dyDescent="0.25"/>
  <cols>
    <col min="1" max="1" width="44.5703125" customWidth="1"/>
    <col min="2" max="7" width="19.42578125" customWidth="1"/>
    <col min="8" max="8" width="17.140625" customWidth="1"/>
    <col min="9" max="9" width="12.42578125" customWidth="1"/>
  </cols>
  <sheetData>
    <row r="1" spans="1:9" ht="21" x14ac:dyDescent="0.35">
      <c r="A1" s="214" t="s">
        <v>190</v>
      </c>
      <c r="B1" s="214"/>
      <c r="C1" s="214"/>
      <c r="E1" s="215" t="s">
        <v>191</v>
      </c>
      <c r="F1" s="215"/>
    </row>
    <row r="3" spans="1:9" ht="21" x14ac:dyDescent="0.35">
      <c r="A3" s="213" t="s">
        <v>137</v>
      </c>
      <c r="B3" s="213"/>
      <c r="C3" s="213"/>
      <c r="D3" s="213"/>
      <c r="E3" s="213"/>
      <c r="F3" s="213"/>
    </row>
    <row r="4" spans="1:9" ht="18.75" x14ac:dyDescent="0.3">
      <c r="A4" s="41" t="s">
        <v>138</v>
      </c>
    </row>
    <row r="5" spans="1:9" x14ac:dyDescent="0.25">
      <c r="A5" s="11"/>
      <c r="B5" s="45" t="str">
        <f>+EJECICIONEROGACIONES!B2</f>
        <v>PRESUPUESTO</v>
      </c>
      <c r="C5" s="45" t="str">
        <f>+EJECICIONEROGACIONES!C2</f>
        <v>ENERO</v>
      </c>
      <c r="D5" s="45" t="str">
        <f>+EJECICIONEROGACIONES!D2</f>
        <v>FEBRERO</v>
      </c>
      <c r="E5" s="45" t="str">
        <f>+EJECICIONEROGACIONES!E2</f>
        <v>MARZO</v>
      </c>
      <c r="F5" s="45" t="str">
        <f>+EJECICIONEROGACIONES!F2</f>
        <v>ABRIL</v>
      </c>
      <c r="G5" s="45" t="str">
        <f>+EJECICIONEROGACIONES!G2</f>
        <v>MAYO</v>
      </c>
      <c r="H5" s="45" t="str">
        <f>+EJECICIONEROGACIONES!H2</f>
        <v>JUNIO</v>
      </c>
    </row>
    <row r="6" spans="1:9" x14ac:dyDescent="0.25">
      <c r="A6" s="36" t="s">
        <v>55</v>
      </c>
      <c r="B6" s="42">
        <f t="shared" ref="B6:G6" si="0">SUM(B7:B11)</f>
        <v>190870000</v>
      </c>
      <c r="C6" s="42">
        <f t="shared" si="0"/>
        <v>10260968.17</v>
      </c>
      <c r="D6" s="42">
        <f t="shared" si="0"/>
        <v>13142320.229999999</v>
      </c>
      <c r="E6" s="42">
        <f t="shared" si="0"/>
        <v>14976118.510000002</v>
      </c>
      <c r="F6" s="42">
        <f t="shared" si="0"/>
        <v>15780008.98</v>
      </c>
      <c r="G6" s="42">
        <f t="shared" si="0"/>
        <v>15422990.369999999</v>
      </c>
      <c r="H6" s="42">
        <f t="shared" ref="H6" si="1">SUM(H7:H11)</f>
        <v>20062402.660000004</v>
      </c>
    </row>
    <row r="7" spans="1:9" x14ac:dyDescent="0.25">
      <c r="A7" s="33" t="s">
        <v>135</v>
      </c>
      <c r="B7" s="34">
        <f>+EJECICIONEROGACIONES!B6</f>
        <v>99500000</v>
      </c>
      <c r="C7" s="34">
        <f>+EJECICIONEROGACIONES!C6</f>
        <v>8164768.0900000008</v>
      </c>
      <c r="D7" s="34">
        <f>+EJECICIONEROGACIONES!D6</f>
        <v>8550906.6199999992</v>
      </c>
      <c r="E7" s="34">
        <f>+EJECICIONEROGACIONES!E6</f>
        <v>8887585.9400000013</v>
      </c>
      <c r="F7" s="34">
        <f>+EJECICIONEROGACIONES!F6</f>
        <v>8826747.0600000005</v>
      </c>
      <c r="G7" s="34">
        <f>+EJECICIONEROGACIONES!G6</f>
        <v>8917169.8100000005</v>
      </c>
      <c r="H7" s="34">
        <f>+EJECICIONEROGACIONES!H6</f>
        <v>11679895.920000002</v>
      </c>
    </row>
    <row r="8" spans="1:9" x14ac:dyDescent="0.25">
      <c r="A8" s="33" t="s">
        <v>119</v>
      </c>
      <c r="B8" s="34">
        <f>+EJECICIONEROGACIONES!B39</f>
        <v>60130000</v>
      </c>
      <c r="C8" s="34">
        <f>+EJECICIONEROGACIONES!C39</f>
        <v>1987983.05</v>
      </c>
      <c r="D8" s="34">
        <f>+EJECICIONEROGACIONES!D39</f>
        <v>4448985.5299999993</v>
      </c>
      <c r="E8" s="34">
        <f>+EJECICIONEROGACIONES!E39</f>
        <v>5790575.4900000002</v>
      </c>
      <c r="F8" s="34">
        <f>+EJECICIONEROGACIONES!F39</f>
        <v>6674571.4199999999</v>
      </c>
      <c r="G8" s="34">
        <f>+EJECICIONEROGACIONES!G39</f>
        <v>6034248.5199999996</v>
      </c>
      <c r="H8" s="34">
        <f>+EJECICIONEROGACIONES!H39</f>
        <v>7928370.5499999998</v>
      </c>
    </row>
    <row r="9" spans="1:9" x14ac:dyDescent="0.25">
      <c r="A9" s="33" t="s">
        <v>120</v>
      </c>
      <c r="B9" s="34">
        <f>+EJECICIONEROGACIONES!B43</f>
        <v>240000</v>
      </c>
      <c r="C9" s="34">
        <f>+EJECICIONEROGACIONES!C43</f>
        <v>28481.53</v>
      </c>
      <c r="D9" s="34">
        <f>+EJECICIONEROGACIONES!D43</f>
        <v>29118.83</v>
      </c>
      <c r="E9" s="34">
        <f>+EJECICIONEROGACIONES!E43</f>
        <v>21797.23</v>
      </c>
      <c r="F9" s="34">
        <f>+EJECICIONEROGACIONES!F43</f>
        <v>22923.09</v>
      </c>
      <c r="G9" s="34">
        <f>+EJECICIONEROGACIONES!G43</f>
        <v>21918</v>
      </c>
      <c r="H9" s="34">
        <f>+EJECICIONEROGACIONES!H43</f>
        <v>21031.85</v>
      </c>
    </row>
    <row r="10" spans="1:9" x14ac:dyDescent="0.25">
      <c r="A10" s="33" t="s">
        <v>66</v>
      </c>
      <c r="B10" s="35">
        <f>+EJECICIONEROGACIONES!B44</f>
        <v>6000000</v>
      </c>
      <c r="C10" s="35">
        <f>+EJECICIONEROGACIONES!C44</f>
        <v>79735.5</v>
      </c>
      <c r="D10" s="35">
        <f>+EJECICIONEROGACIONES!D44</f>
        <v>113309.25</v>
      </c>
      <c r="E10" s="35">
        <f>+EJECICIONEROGACIONES!E44</f>
        <v>276159.84999999998</v>
      </c>
      <c r="F10" s="35">
        <f>+EJECICIONEROGACIONES!F44</f>
        <v>255767.41</v>
      </c>
      <c r="G10" s="35">
        <f>+EJECICIONEROGACIONES!G44</f>
        <v>449654.04</v>
      </c>
      <c r="H10" s="35">
        <f>+EJECICIONEROGACIONES!H44</f>
        <v>433104.34</v>
      </c>
    </row>
    <row r="11" spans="1:9" x14ac:dyDescent="0.25">
      <c r="A11" s="32" t="str">
        <f>+EJECICIONEROGACIONES!A58</f>
        <v>CREDITO ADICIONAL PARA OPERACIONES CORRIENTES</v>
      </c>
      <c r="B11" s="15">
        <f>+EJECICIONEROGACIONES!B58</f>
        <v>25000000</v>
      </c>
      <c r="C11" s="16">
        <f>+EJECICIONEROGACIONES!C58</f>
        <v>0</v>
      </c>
      <c r="D11" s="16">
        <f>+EJECICIONEROGACIONES!D58</f>
        <v>0</v>
      </c>
      <c r="E11" s="16">
        <f>+EJECICIONEROGACIONES!E58</f>
        <v>0</v>
      </c>
      <c r="F11" s="16">
        <f>+EJECICIONEROGACIONES!F58</f>
        <v>0</v>
      </c>
      <c r="G11" s="16">
        <f>+EJECICIONEROGACIONES!G58</f>
        <v>0</v>
      </c>
      <c r="H11" s="16">
        <f>+EJECICIONEROGACIONES!H58</f>
        <v>0</v>
      </c>
    </row>
    <row r="12" spans="1:9" x14ac:dyDescent="0.25">
      <c r="A12" s="37" t="s">
        <v>67</v>
      </c>
      <c r="B12" s="42">
        <f>+EJECICIONEROGACIONES!B48</f>
        <v>53930000</v>
      </c>
      <c r="C12" s="42">
        <f>+EJECICIONEROGACIONES!C48</f>
        <v>87056.01</v>
      </c>
      <c r="D12" s="42">
        <f>+EJECICIONEROGACIONES!D48</f>
        <v>73072.38</v>
      </c>
      <c r="E12" s="42">
        <f>+EJECICIONEROGACIONES!E48</f>
        <v>992110</v>
      </c>
      <c r="F12" s="42">
        <f>+EJECICIONEROGACIONES!F48</f>
        <v>1946151.9900000002</v>
      </c>
      <c r="G12" s="42">
        <f>+EJECICIONEROGACIONES!G48</f>
        <v>1234063.95</v>
      </c>
      <c r="H12" s="42">
        <f>+EJECICIONEROGACIONES!H48</f>
        <v>5392710.3899999997</v>
      </c>
    </row>
    <row r="13" spans="1:9" x14ac:dyDescent="0.25">
      <c r="A13" s="37" t="s">
        <v>134</v>
      </c>
      <c r="B13" s="42">
        <f>+EJECICIONEROGACIONES!B56</f>
        <v>16200000</v>
      </c>
      <c r="C13" s="42">
        <f>+EJECICIONEROGACIONES!C56</f>
        <v>76535.62</v>
      </c>
      <c r="D13" s="42">
        <f>+EJECICIONEROGACIONES!D56</f>
        <v>77494.86</v>
      </c>
      <c r="E13" s="42">
        <f>+EJECICIONEROGACIONES!E56</f>
        <v>81826.789999999994</v>
      </c>
      <c r="F13" s="42">
        <f>+EJECICIONEROGACIONES!F56</f>
        <v>82527.92</v>
      </c>
      <c r="G13" s="42">
        <f>+EJECICIONEROGACIONES!G56</f>
        <v>84295.69</v>
      </c>
      <c r="H13" s="42">
        <f>+EJECICIONEROGACIONES!H56</f>
        <v>86141.41</v>
      </c>
    </row>
    <row r="14" spans="1:9" x14ac:dyDescent="0.25">
      <c r="A14" s="39" t="s">
        <v>136</v>
      </c>
      <c r="B14" s="38">
        <f t="shared" ref="B14:G14" si="2">+B6+B12+B13</f>
        <v>261000000</v>
      </c>
      <c r="C14" s="38">
        <f t="shared" si="2"/>
        <v>10424559.799999999</v>
      </c>
      <c r="D14" s="38">
        <f t="shared" si="2"/>
        <v>13292887.469999999</v>
      </c>
      <c r="E14" s="38">
        <f t="shared" si="2"/>
        <v>16050055.300000001</v>
      </c>
      <c r="F14" s="38">
        <f t="shared" si="2"/>
        <v>17808688.890000001</v>
      </c>
      <c r="G14" s="38">
        <f t="shared" si="2"/>
        <v>16741350.009999998</v>
      </c>
      <c r="H14" s="38">
        <f t="shared" ref="H14" si="3">+H6+H12+H13</f>
        <v>25541254.460000005</v>
      </c>
    </row>
    <row r="15" spans="1:9" x14ac:dyDescent="0.25">
      <c r="A15" s="40"/>
    </row>
    <row r="16" spans="1:9" x14ac:dyDescent="0.25">
      <c r="A16" s="43" t="s">
        <v>139</v>
      </c>
      <c r="B16" s="109" t="str">
        <f t="shared" ref="B16:G16" si="4">+B5</f>
        <v>PRESUPUESTO</v>
      </c>
      <c r="C16" s="109" t="str">
        <f t="shared" si="4"/>
        <v>ENERO</v>
      </c>
      <c r="D16" s="109" t="str">
        <f t="shared" si="4"/>
        <v>FEBRERO</v>
      </c>
      <c r="E16" s="109" t="str">
        <f t="shared" si="4"/>
        <v>MARZO</v>
      </c>
      <c r="F16" s="109" t="str">
        <f t="shared" si="4"/>
        <v>ABRIL</v>
      </c>
      <c r="G16" s="110" t="str">
        <f t="shared" si="4"/>
        <v>MAYO</v>
      </c>
      <c r="H16" s="110" t="str">
        <f t="shared" ref="H16" si="5">+H5</f>
        <v>JUNIO</v>
      </c>
      <c r="I16" s="46" t="s">
        <v>195</v>
      </c>
    </row>
    <row r="17" spans="1:9" x14ac:dyDescent="0.25">
      <c r="A17" s="12" t="s">
        <v>140</v>
      </c>
      <c r="B17" s="44">
        <f t="shared" ref="B17:G17" si="6">+B7/B14</f>
        <v>0.38122605363984674</v>
      </c>
      <c r="C17" s="44">
        <f t="shared" si="6"/>
        <v>0.78322425566593246</v>
      </c>
      <c r="D17" s="44">
        <f t="shared" si="6"/>
        <v>0.64326931521071551</v>
      </c>
      <c r="E17" s="44">
        <f t="shared" si="6"/>
        <v>0.55374176436638201</v>
      </c>
      <c r="F17" s="44">
        <f t="shared" si="6"/>
        <v>0.49564272330886905</v>
      </c>
      <c r="G17" s="44">
        <f t="shared" si="6"/>
        <v>0.5326434131461063</v>
      </c>
      <c r="H17" s="44">
        <f t="shared" ref="H17" si="7">+H7/H14</f>
        <v>0.45729531171978305</v>
      </c>
      <c r="I17" s="112">
        <f>AVERAGE(B17:H17)</f>
        <v>0.54957754815109072</v>
      </c>
    </row>
    <row r="18" spans="1:9" x14ac:dyDescent="0.25">
      <c r="A18" s="12" t="s">
        <v>141</v>
      </c>
      <c r="B18" s="44">
        <f t="shared" ref="B18:G18" si="8">+B7/B6</f>
        <v>0.5212972180017813</v>
      </c>
      <c r="C18" s="44">
        <f t="shared" si="8"/>
        <v>0.79571127740863079</v>
      </c>
      <c r="D18" s="44">
        <f t="shared" si="8"/>
        <v>0.65063904016589313</v>
      </c>
      <c r="E18" s="44">
        <f t="shared" si="8"/>
        <v>0.59345056157678611</v>
      </c>
      <c r="F18" s="44">
        <f t="shared" si="8"/>
        <v>0.55936261323978032</v>
      </c>
      <c r="G18" s="44">
        <f t="shared" si="8"/>
        <v>0.57817385578773473</v>
      </c>
      <c r="H18" s="44">
        <f t="shared" ref="H18" si="9">+H7/H6</f>
        <v>0.58217832220500354</v>
      </c>
      <c r="I18" s="112">
        <f t="shared" ref="I18:I20" si="10">AVERAGE(B18:H18)</f>
        <v>0.6115446983408015</v>
      </c>
    </row>
    <row r="19" spans="1:9" x14ac:dyDescent="0.25">
      <c r="A19" s="12" t="s">
        <v>143</v>
      </c>
      <c r="B19" s="44">
        <f t="shared" ref="B19:G19" si="11">+B8/B6</f>
        <v>0.31503117304971973</v>
      </c>
      <c r="C19" s="44">
        <f t="shared" si="11"/>
        <v>0.19374224898311912</v>
      </c>
      <c r="D19" s="44">
        <f t="shared" si="11"/>
        <v>0.3385235979750586</v>
      </c>
      <c r="E19" s="44">
        <f t="shared" si="11"/>
        <v>0.3866539575079791</v>
      </c>
      <c r="F19" s="44">
        <f t="shared" si="11"/>
        <v>0.42297640188034924</v>
      </c>
      <c r="G19" s="44">
        <f t="shared" si="11"/>
        <v>0.39125022938077603</v>
      </c>
      <c r="H19" s="44">
        <f t="shared" ref="H19" si="12">+H8/H6</f>
        <v>0.39518549619220922</v>
      </c>
      <c r="I19" s="112">
        <f t="shared" si="10"/>
        <v>0.34905187213845873</v>
      </c>
    </row>
    <row r="20" spans="1:9" x14ac:dyDescent="0.25">
      <c r="A20" s="12" t="s">
        <v>142</v>
      </c>
      <c r="B20" s="44">
        <f t="shared" ref="B20:G20" si="13">+B12/B14</f>
        <v>0.20662835249042147</v>
      </c>
      <c r="C20" s="44">
        <f t="shared" si="13"/>
        <v>8.351049029427602E-3</v>
      </c>
      <c r="D20" s="44">
        <f t="shared" si="13"/>
        <v>5.4971036326692093E-3</v>
      </c>
      <c r="E20" s="44">
        <f t="shared" si="13"/>
        <v>6.1813494187773918E-2</v>
      </c>
      <c r="F20" s="44">
        <f t="shared" si="13"/>
        <v>0.10928103702753832</v>
      </c>
      <c r="G20" s="44">
        <f t="shared" si="13"/>
        <v>7.3713526642885122E-2</v>
      </c>
      <c r="H20" s="44">
        <f t="shared" ref="H20" si="14">+H12/H14</f>
        <v>0.21113725633349328</v>
      </c>
      <c r="I20" s="112">
        <f t="shared" si="10"/>
        <v>9.6631688477744129E-2</v>
      </c>
    </row>
  </sheetData>
  <sheetProtection algorithmName="SHA-512" hashValue="5VV46UyXvJknyIhXRY0kobE6DVA1e7S57bnPhg5VCiRMLpwOr3D5D22X8JA05XtO58D5mw5t59sGFoZLWcRGLg==" saltValue="63piisxKhhhcBR4kE7dgLA==" spinCount="100000" sheet="1" objects="1" scenarios="1"/>
  <mergeCells count="3">
    <mergeCell ref="A3:F3"/>
    <mergeCell ref="A1:C1"/>
    <mergeCell ref="E1:F1"/>
  </mergeCells>
  <hyperlinks>
    <hyperlink ref="E1:F1" location="INDICE!A1" display="Volver a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Q87"/>
  <sheetViews>
    <sheetView workbookViewId="0">
      <selection activeCell="H1" sqref="H1"/>
    </sheetView>
  </sheetViews>
  <sheetFormatPr defaultColWidth="9.140625" defaultRowHeight="15.75" customHeight="1" x14ac:dyDescent="0.2"/>
  <cols>
    <col min="1" max="1" width="9.42578125" style="228" customWidth="1"/>
    <col min="2" max="2" width="24.85546875" style="225" customWidth="1"/>
    <col min="3" max="3" width="14.140625" style="225" customWidth="1"/>
    <col min="4" max="4" width="15.42578125" style="229" customWidth="1"/>
    <col min="5" max="5" width="12" style="225" customWidth="1"/>
    <col min="6" max="6" width="13.28515625" style="225" customWidth="1"/>
    <col min="7" max="8" width="12.42578125" style="225" customWidth="1"/>
    <col min="9" max="10" width="12.140625" style="225" customWidth="1"/>
    <col min="11" max="11" width="13.7109375" style="225" customWidth="1"/>
    <col min="12" max="12" width="3.140625" style="257" customWidth="1"/>
    <col min="13" max="13" width="13.5703125" style="227" customWidth="1"/>
    <col min="14" max="14" width="13.140625" style="227" customWidth="1"/>
    <col min="15" max="15" width="2.140625" style="227" customWidth="1"/>
    <col min="16" max="16" width="14" style="226" customWidth="1"/>
    <col min="17" max="17" width="12.85546875" style="227" customWidth="1"/>
    <col min="18" max="16384" width="9.140625" style="227"/>
  </cols>
  <sheetData>
    <row r="1" spans="1:17" ht="15.75" customHeight="1" thickBot="1" x14ac:dyDescent="0.3">
      <c r="A1" s="222" t="s">
        <v>196</v>
      </c>
      <c r="B1" s="223"/>
      <c r="C1" s="223"/>
      <c r="D1" s="224"/>
      <c r="H1" s="180" t="s">
        <v>264</v>
      </c>
    </row>
    <row r="3" spans="1:17" ht="15.75" customHeight="1" x14ac:dyDescent="0.2">
      <c r="A3" s="219" t="s">
        <v>197</v>
      </c>
      <c r="B3" s="219"/>
      <c r="C3" s="230">
        <v>2015</v>
      </c>
      <c r="E3" s="274" t="s">
        <v>293</v>
      </c>
      <c r="F3" s="274"/>
      <c r="G3" s="274"/>
      <c r="H3" s="274"/>
      <c r="I3" s="274"/>
      <c r="J3" s="274"/>
      <c r="K3" s="230">
        <v>2016</v>
      </c>
    </row>
    <row r="4" spans="1:17" ht="40.5" customHeight="1" x14ac:dyDescent="0.2">
      <c r="A4" s="270" t="s">
        <v>198</v>
      </c>
      <c r="B4" s="270" t="s">
        <v>199</v>
      </c>
      <c r="C4" s="272" t="s">
        <v>285</v>
      </c>
      <c r="D4" s="271" t="s">
        <v>200</v>
      </c>
      <c r="E4" s="270" t="s">
        <v>280</v>
      </c>
      <c r="F4" s="270" t="s">
        <v>281</v>
      </c>
      <c r="G4" s="270" t="s">
        <v>282</v>
      </c>
      <c r="H4" s="270" t="s">
        <v>283</v>
      </c>
      <c r="I4" s="270" t="s">
        <v>204</v>
      </c>
      <c r="J4" s="270" t="s">
        <v>284</v>
      </c>
      <c r="K4" s="273" t="s">
        <v>285</v>
      </c>
      <c r="M4" s="256" t="s">
        <v>290</v>
      </c>
      <c r="N4" s="256" t="s">
        <v>291</v>
      </c>
      <c r="P4" s="269" t="s">
        <v>289</v>
      </c>
      <c r="Q4" s="256" t="s">
        <v>292</v>
      </c>
    </row>
    <row r="5" spans="1:17" ht="15.75" customHeight="1" x14ac:dyDescent="0.2">
      <c r="A5" s="231">
        <v>1</v>
      </c>
      <c r="B5" s="232" t="s">
        <v>205</v>
      </c>
      <c r="C5" s="233">
        <v>5372346</v>
      </c>
      <c r="D5" s="258">
        <v>12000000</v>
      </c>
      <c r="E5" s="235">
        <v>7500</v>
      </c>
      <c r="F5" s="235">
        <v>7500</v>
      </c>
      <c r="G5" s="235">
        <v>68313</v>
      </c>
      <c r="H5" s="235">
        <v>91356</v>
      </c>
      <c r="I5" s="235">
        <v>23873</v>
      </c>
      <c r="J5" s="235">
        <v>309223</v>
      </c>
      <c r="K5" s="236">
        <f t="shared" ref="K5:K22" si="0">SUM(E5:J5)</f>
        <v>507765</v>
      </c>
      <c r="M5" s="237">
        <f>+K5*2</f>
        <v>1015530</v>
      </c>
      <c r="N5" s="259">
        <f>+D5-M5</f>
        <v>10984470</v>
      </c>
      <c r="P5" s="237">
        <f>+C5*1.3*2</f>
        <v>13968099.6</v>
      </c>
      <c r="Q5" s="259">
        <f>-P5+M5</f>
        <v>-12952569.6</v>
      </c>
    </row>
    <row r="6" spans="1:17" ht="15.75" customHeight="1" x14ac:dyDescent="0.2">
      <c r="A6" s="231">
        <v>2</v>
      </c>
      <c r="B6" s="232" t="s">
        <v>206</v>
      </c>
      <c r="C6" s="233">
        <v>220567</v>
      </c>
      <c r="D6" s="258">
        <v>400000</v>
      </c>
      <c r="E6" s="235">
        <v>1277</v>
      </c>
      <c r="F6" s="235">
        <v>89971</v>
      </c>
      <c r="G6" s="235">
        <v>17464</v>
      </c>
      <c r="H6" s="235">
        <v>36838</v>
      </c>
      <c r="I6" s="235">
        <v>29651</v>
      </c>
      <c r="J6" s="235">
        <v>34543</v>
      </c>
      <c r="K6" s="236">
        <f t="shared" si="0"/>
        <v>209744</v>
      </c>
      <c r="M6" s="237">
        <f t="shared" ref="M6:M43" si="1">+K6*2</f>
        <v>419488</v>
      </c>
      <c r="N6" s="259">
        <f t="shared" ref="N6:N22" si="2">+D6-M6</f>
        <v>-19488</v>
      </c>
      <c r="P6" s="237">
        <f t="shared" ref="P6:P21" si="3">+C6*1.3*2</f>
        <v>573474.20000000007</v>
      </c>
      <c r="Q6" s="259">
        <f t="shared" ref="Q6:Q21" si="4">-P6+M6</f>
        <v>-153986.20000000007</v>
      </c>
    </row>
    <row r="7" spans="1:17" ht="15.75" customHeight="1" x14ac:dyDescent="0.2">
      <c r="A7" s="231">
        <v>3</v>
      </c>
      <c r="B7" s="232" t="s">
        <v>207</v>
      </c>
      <c r="C7" s="233">
        <v>106808</v>
      </c>
      <c r="D7" s="258">
        <v>140000</v>
      </c>
      <c r="E7" s="235">
        <v>22766</v>
      </c>
      <c r="F7" s="235">
        <v>23730</v>
      </c>
      <c r="G7" s="235">
        <v>29506</v>
      </c>
      <c r="H7" s="235">
        <v>19652</v>
      </c>
      <c r="I7" s="235">
        <v>37639</v>
      </c>
      <c r="J7" s="235">
        <v>19577</v>
      </c>
      <c r="K7" s="236">
        <f t="shared" si="0"/>
        <v>152870</v>
      </c>
      <c r="M7" s="237">
        <f t="shared" si="1"/>
        <v>305740</v>
      </c>
      <c r="N7" s="259">
        <f t="shared" si="2"/>
        <v>-165740</v>
      </c>
      <c r="P7" s="237">
        <f t="shared" si="3"/>
        <v>277700.8</v>
      </c>
      <c r="Q7" s="259">
        <f t="shared" si="4"/>
        <v>28039.200000000012</v>
      </c>
    </row>
    <row r="8" spans="1:17" ht="15.75" customHeight="1" x14ac:dyDescent="0.2">
      <c r="A8" s="231">
        <v>4</v>
      </c>
      <c r="B8" s="232" t="s">
        <v>208</v>
      </c>
      <c r="C8" s="233">
        <v>952444</v>
      </c>
      <c r="D8" s="258">
        <v>2000000</v>
      </c>
      <c r="E8" s="235">
        <v>50002</v>
      </c>
      <c r="F8" s="235">
        <v>156858</v>
      </c>
      <c r="G8" s="235">
        <v>126292</v>
      </c>
      <c r="H8" s="235">
        <v>112987</v>
      </c>
      <c r="I8" s="235">
        <v>89259</v>
      </c>
      <c r="J8" s="235">
        <v>81476</v>
      </c>
      <c r="K8" s="236">
        <f t="shared" si="0"/>
        <v>616874</v>
      </c>
      <c r="M8" s="237">
        <f t="shared" si="1"/>
        <v>1233748</v>
      </c>
      <c r="N8" s="259">
        <f t="shared" si="2"/>
        <v>766252</v>
      </c>
      <c r="P8" s="237">
        <f t="shared" si="3"/>
        <v>2476354.4</v>
      </c>
      <c r="Q8" s="259">
        <f t="shared" si="4"/>
        <v>-1242606.3999999999</v>
      </c>
    </row>
    <row r="9" spans="1:17" ht="15.75" customHeight="1" x14ac:dyDescent="0.2">
      <c r="A9" s="231">
        <v>5</v>
      </c>
      <c r="B9" s="232" t="s">
        <v>209</v>
      </c>
      <c r="C9" s="233">
        <v>128305</v>
      </c>
      <c r="D9" s="258">
        <v>280000</v>
      </c>
      <c r="E9" s="235">
        <v>45513</v>
      </c>
      <c r="F9" s="235">
        <v>21768</v>
      </c>
      <c r="G9" s="235">
        <v>31508</v>
      </c>
      <c r="H9" s="235">
        <v>17318</v>
      </c>
      <c r="I9" s="235">
        <v>17489</v>
      </c>
      <c r="J9" s="235">
        <v>24513</v>
      </c>
      <c r="K9" s="236">
        <f t="shared" si="0"/>
        <v>158109</v>
      </c>
      <c r="M9" s="237">
        <f t="shared" si="1"/>
        <v>316218</v>
      </c>
      <c r="N9" s="259">
        <f t="shared" si="2"/>
        <v>-36218</v>
      </c>
      <c r="P9" s="237">
        <f t="shared" si="3"/>
        <v>333593</v>
      </c>
      <c r="Q9" s="259">
        <f t="shared" si="4"/>
        <v>-17375</v>
      </c>
    </row>
    <row r="10" spans="1:17" ht="15.75" customHeight="1" x14ac:dyDescent="0.2">
      <c r="A10" s="231">
        <v>6</v>
      </c>
      <c r="B10" s="232" t="s">
        <v>210</v>
      </c>
      <c r="C10" s="233">
        <v>42835</v>
      </c>
      <c r="D10" s="258">
        <v>120000</v>
      </c>
      <c r="E10" s="235">
        <v>1887</v>
      </c>
      <c r="F10" s="235">
        <v>2994</v>
      </c>
      <c r="G10" s="235">
        <v>5438</v>
      </c>
      <c r="H10" s="235">
        <v>25313</v>
      </c>
      <c r="I10" s="235">
        <v>4074</v>
      </c>
      <c r="J10" s="235">
        <v>14427</v>
      </c>
      <c r="K10" s="236">
        <f t="shared" si="0"/>
        <v>54133</v>
      </c>
      <c r="M10" s="237">
        <f t="shared" si="1"/>
        <v>108266</v>
      </c>
      <c r="N10" s="259">
        <f t="shared" si="2"/>
        <v>11734</v>
      </c>
      <c r="P10" s="237">
        <f t="shared" si="3"/>
        <v>111371</v>
      </c>
      <c r="Q10" s="259">
        <f t="shared" si="4"/>
        <v>-3105</v>
      </c>
    </row>
    <row r="11" spans="1:17" ht="15.75" customHeight="1" x14ac:dyDescent="0.2">
      <c r="A11" s="231">
        <v>7</v>
      </c>
      <c r="B11" s="232" t="s">
        <v>211</v>
      </c>
      <c r="C11" s="233">
        <v>2689114</v>
      </c>
      <c r="D11" s="258">
        <v>5300000</v>
      </c>
      <c r="E11" s="235">
        <v>381708</v>
      </c>
      <c r="F11" s="235">
        <v>602233</v>
      </c>
      <c r="G11" s="235">
        <v>886147</v>
      </c>
      <c r="H11" s="235">
        <v>1053731</v>
      </c>
      <c r="I11" s="235">
        <v>949738</v>
      </c>
      <c r="J11" s="235">
        <v>1042708</v>
      </c>
      <c r="K11" s="236">
        <f t="shared" si="0"/>
        <v>4916265</v>
      </c>
      <c r="M11" s="237">
        <f t="shared" si="1"/>
        <v>9832530</v>
      </c>
      <c r="N11" s="259">
        <f t="shared" si="2"/>
        <v>-4532530</v>
      </c>
      <c r="P11" s="237">
        <f t="shared" si="3"/>
        <v>6991696.4000000004</v>
      </c>
      <c r="Q11" s="259">
        <f t="shared" si="4"/>
        <v>2840833.5999999996</v>
      </c>
    </row>
    <row r="12" spans="1:17" ht="15.75" customHeight="1" x14ac:dyDescent="0.2">
      <c r="A12" s="231">
        <v>8</v>
      </c>
      <c r="B12" s="232" t="s">
        <v>212</v>
      </c>
      <c r="C12" s="233">
        <v>384882</v>
      </c>
      <c r="D12" s="258">
        <v>500000</v>
      </c>
      <c r="E12" s="235">
        <v>18860</v>
      </c>
      <c r="F12" s="235">
        <v>333148</v>
      </c>
      <c r="G12" s="235">
        <v>140169</v>
      </c>
      <c r="H12" s="235">
        <v>90665</v>
      </c>
      <c r="I12" s="235">
        <v>266342</v>
      </c>
      <c r="J12" s="235">
        <v>150660</v>
      </c>
      <c r="K12" s="236">
        <f t="shared" si="0"/>
        <v>999844</v>
      </c>
      <c r="M12" s="237">
        <f t="shared" si="1"/>
        <v>1999688</v>
      </c>
      <c r="N12" s="259">
        <f t="shared" si="2"/>
        <v>-1499688</v>
      </c>
      <c r="P12" s="237">
        <f t="shared" si="3"/>
        <v>1000693.2000000001</v>
      </c>
      <c r="Q12" s="259">
        <f t="shared" si="4"/>
        <v>998994.79999999993</v>
      </c>
    </row>
    <row r="13" spans="1:17" ht="15.75" customHeight="1" x14ac:dyDescent="0.2">
      <c r="A13" s="231">
        <v>9</v>
      </c>
      <c r="B13" s="232" t="s">
        <v>213</v>
      </c>
      <c r="C13" s="233">
        <v>1330649</v>
      </c>
      <c r="D13" s="258">
        <v>2300000</v>
      </c>
      <c r="E13" s="235">
        <v>24036</v>
      </c>
      <c r="F13" s="235">
        <v>102700</v>
      </c>
      <c r="G13" s="235">
        <v>87396</v>
      </c>
      <c r="H13" s="235">
        <v>130442</v>
      </c>
      <c r="I13" s="235">
        <v>129858</v>
      </c>
      <c r="J13" s="235">
        <v>110345</v>
      </c>
      <c r="K13" s="236">
        <f t="shared" si="0"/>
        <v>584777</v>
      </c>
      <c r="M13" s="237">
        <f t="shared" si="1"/>
        <v>1169554</v>
      </c>
      <c r="N13" s="259">
        <f t="shared" si="2"/>
        <v>1130446</v>
      </c>
      <c r="P13" s="237">
        <f t="shared" si="3"/>
        <v>3459687.4</v>
      </c>
      <c r="Q13" s="259">
        <f t="shared" si="4"/>
        <v>-2290133.4</v>
      </c>
    </row>
    <row r="14" spans="1:17" ht="15.75" customHeight="1" x14ac:dyDescent="0.2">
      <c r="A14" s="231">
        <v>10</v>
      </c>
      <c r="B14" s="232" t="s">
        <v>214</v>
      </c>
      <c r="C14" s="233">
        <v>47168</v>
      </c>
      <c r="D14" s="258">
        <v>100000</v>
      </c>
      <c r="E14" s="235">
        <v>1500</v>
      </c>
      <c r="F14" s="235">
        <v>4752</v>
      </c>
      <c r="G14" s="235">
        <v>2550</v>
      </c>
      <c r="H14" s="235">
        <v>673</v>
      </c>
      <c r="I14" s="235">
        <v>3670</v>
      </c>
      <c r="J14" s="235">
        <v>8380</v>
      </c>
      <c r="K14" s="236">
        <f t="shared" si="0"/>
        <v>21525</v>
      </c>
      <c r="M14" s="237">
        <f t="shared" si="1"/>
        <v>43050</v>
      </c>
      <c r="N14" s="259">
        <f t="shared" si="2"/>
        <v>56950</v>
      </c>
      <c r="P14" s="237">
        <f t="shared" si="3"/>
        <v>122636.8</v>
      </c>
      <c r="Q14" s="259">
        <f t="shared" si="4"/>
        <v>-79586.8</v>
      </c>
    </row>
    <row r="15" spans="1:17" ht="15.75" customHeight="1" x14ac:dyDescent="0.2">
      <c r="A15" s="231">
        <v>11</v>
      </c>
      <c r="B15" s="232" t="s">
        <v>215</v>
      </c>
      <c r="C15" s="233">
        <v>225767</v>
      </c>
      <c r="D15" s="258">
        <v>220000</v>
      </c>
      <c r="E15" s="235">
        <v>1237</v>
      </c>
      <c r="F15" s="235">
        <v>24117</v>
      </c>
      <c r="G15" s="235">
        <v>38602</v>
      </c>
      <c r="H15" s="235">
        <v>25295</v>
      </c>
      <c r="I15" s="235">
        <v>13498</v>
      </c>
      <c r="J15" s="235">
        <v>68034</v>
      </c>
      <c r="K15" s="236">
        <f t="shared" si="0"/>
        <v>170783</v>
      </c>
      <c r="M15" s="237">
        <f t="shared" si="1"/>
        <v>341566</v>
      </c>
      <c r="N15" s="259">
        <f t="shared" si="2"/>
        <v>-121566</v>
      </c>
      <c r="P15" s="237">
        <f t="shared" si="3"/>
        <v>586994.20000000007</v>
      </c>
      <c r="Q15" s="259">
        <f t="shared" si="4"/>
        <v>-245428.20000000007</v>
      </c>
    </row>
    <row r="16" spans="1:17" ht="15.75" customHeight="1" x14ac:dyDescent="0.2">
      <c r="A16" s="231">
        <v>12</v>
      </c>
      <c r="B16" s="232" t="s">
        <v>216</v>
      </c>
      <c r="C16" s="233">
        <v>1057268</v>
      </c>
      <c r="D16" s="258">
        <v>2000000</v>
      </c>
      <c r="E16" s="235">
        <v>22620</v>
      </c>
      <c r="F16" s="235">
        <v>51023</v>
      </c>
      <c r="G16" s="235">
        <v>102156</v>
      </c>
      <c r="H16" s="235">
        <v>101364</v>
      </c>
      <c r="I16" s="235">
        <v>84166</v>
      </c>
      <c r="J16" s="235">
        <v>64642</v>
      </c>
      <c r="K16" s="236">
        <f t="shared" si="0"/>
        <v>425971</v>
      </c>
      <c r="M16" s="237">
        <f t="shared" si="1"/>
        <v>851942</v>
      </c>
      <c r="N16" s="259">
        <f t="shared" si="2"/>
        <v>1148058</v>
      </c>
      <c r="P16" s="237">
        <f t="shared" si="3"/>
        <v>2748896.8000000003</v>
      </c>
      <c r="Q16" s="259">
        <f t="shared" si="4"/>
        <v>-1896954.8000000003</v>
      </c>
    </row>
    <row r="17" spans="1:17" ht="15.75" customHeight="1" x14ac:dyDescent="0.2">
      <c r="A17" s="231">
        <v>13</v>
      </c>
      <c r="B17" s="232" t="s">
        <v>217</v>
      </c>
      <c r="C17" s="233">
        <v>8731965</v>
      </c>
      <c r="D17" s="258">
        <v>14000000</v>
      </c>
      <c r="E17" s="235">
        <v>1468481</v>
      </c>
      <c r="F17" s="235">
        <v>1889738</v>
      </c>
      <c r="G17" s="235">
        <v>1768779</v>
      </c>
      <c r="H17" s="235">
        <v>1924378</v>
      </c>
      <c r="I17" s="235">
        <v>2073036</v>
      </c>
      <c r="J17" s="235">
        <v>2055503</v>
      </c>
      <c r="K17" s="236">
        <f t="shared" si="0"/>
        <v>11179915</v>
      </c>
      <c r="M17" s="237">
        <f t="shared" si="1"/>
        <v>22359830</v>
      </c>
      <c r="N17" s="259">
        <f t="shared" si="2"/>
        <v>-8359830</v>
      </c>
      <c r="P17" s="237">
        <f t="shared" si="3"/>
        <v>22703109</v>
      </c>
      <c r="Q17" s="259">
        <f t="shared" si="4"/>
        <v>-343279</v>
      </c>
    </row>
    <row r="18" spans="1:17" ht="15.75" customHeight="1" x14ac:dyDescent="0.2">
      <c r="A18" s="231">
        <v>14</v>
      </c>
      <c r="B18" s="232" t="s">
        <v>218</v>
      </c>
      <c r="C18" s="233">
        <v>594142</v>
      </c>
      <c r="D18" s="258">
        <v>850000</v>
      </c>
      <c r="E18" s="235">
        <v>0</v>
      </c>
      <c r="F18" s="235">
        <v>81758</v>
      </c>
      <c r="G18" s="235">
        <v>77897</v>
      </c>
      <c r="H18" s="235">
        <v>110640</v>
      </c>
      <c r="I18" s="235">
        <v>125043</v>
      </c>
      <c r="J18" s="235">
        <v>101755</v>
      </c>
      <c r="K18" s="236">
        <f t="shared" si="0"/>
        <v>497093</v>
      </c>
      <c r="M18" s="237">
        <f t="shared" si="1"/>
        <v>994186</v>
      </c>
      <c r="N18" s="259">
        <f t="shared" si="2"/>
        <v>-144186</v>
      </c>
      <c r="P18" s="237">
        <f t="shared" si="3"/>
        <v>1544769.2</v>
      </c>
      <c r="Q18" s="259">
        <f t="shared" si="4"/>
        <v>-550583.19999999995</v>
      </c>
    </row>
    <row r="19" spans="1:17" ht="15.75" customHeight="1" x14ac:dyDescent="0.2">
      <c r="A19" s="231">
        <v>15</v>
      </c>
      <c r="B19" s="232" t="s">
        <v>219</v>
      </c>
      <c r="C19" s="233">
        <v>243360</v>
      </c>
      <c r="D19" s="258">
        <v>490000</v>
      </c>
      <c r="E19" s="235">
        <v>11760</v>
      </c>
      <c r="F19" s="235">
        <v>13928</v>
      </c>
      <c r="G19" s="235">
        <v>28388</v>
      </c>
      <c r="H19" s="235">
        <v>31995</v>
      </c>
      <c r="I19" s="235">
        <v>26250</v>
      </c>
      <c r="J19" s="235">
        <v>34912</v>
      </c>
      <c r="K19" s="236">
        <f t="shared" si="0"/>
        <v>147233</v>
      </c>
      <c r="M19" s="237">
        <f t="shared" si="1"/>
        <v>294466</v>
      </c>
      <c r="N19" s="259">
        <f t="shared" si="2"/>
        <v>195534</v>
      </c>
      <c r="P19" s="237">
        <f t="shared" si="3"/>
        <v>632736</v>
      </c>
      <c r="Q19" s="259">
        <f t="shared" si="4"/>
        <v>-338270</v>
      </c>
    </row>
    <row r="20" spans="1:17" ht="15.75" customHeight="1" x14ac:dyDescent="0.2">
      <c r="A20" s="231">
        <v>16</v>
      </c>
      <c r="B20" s="232" t="s">
        <v>220</v>
      </c>
      <c r="C20" s="233">
        <v>142479</v>
      </c>
      <c r="D20" s="258">
        <v>100000</v>
      </c>
      <c r="E20" s="235">
        <v>56597</v>
      </c>
      <c r="F20" s="235">
        <v>49569</v>
      </c>
      <c r="G20" s="235">
        <v>512057</v>
      </c>
      <c r="H20" s="235">
        <v>434550</v>
      </c>
      <c r="I20" s="235">
        <v>830133</v>
      </c>
      <c r="J20" s="235">
        <v>636740</v>
      </c>
      <c r="K20" s="236">
        <f t="shared" si="0"/>
        <v>2519646</v>
      </c>
      <c r="M20" s="237">
        <f t="shared" si="1"/>
        <v>5039292</v>
      </c>
      <c r="N20" s="259">
        <f t="shared" si="2"/>
        <v>-4939292</v>
      </c>
      <c r="P20" s="237">
        <f t="shared" si="3"/>
        <v>370445.4</v>
      </c>
      <c r="Q20" s="259">
        <f t="shared" si="4"/>
        <v>4668846.5999999996</v>
      </c>
    </row>
    <row r="21" spans="1:17" ht="15.75" customHeight="1" x14ac:dyDescent="0.2">
      <c r="A21" s="231">
        <v>17</v>
      </c>
      <c r="B21" s="232" t="s">
        <v>221</v>
      </c>
      <c r="C21" s="233">
        <v>250865</v>
      </c>
      <c r="D21" s="258">
        <v>400000</v>
      </c>
      <c r="E21" s="235">
        <v>9682</v>
      </c>
      <c r="F21" s="235">
        <v>11285</v>
      </c>
      <c r="G21" s="235">
        <v>15178</v>
      </c>
      <c r="H21" s="235">
        <v>27346</v>
      </c>
      <c r="I21" s="235">
        <v>62236</v>
      </c>
      <c r="J21" s="235">
        <v>87159</v>
      </c>
      <c r="K21" s="236">
        <f t="shared" si="0"/>
        <v>212886</v>
      </c>
      <c r="M21" s="237">
        <f t="shared" si="1"/>
        <v>425772</v>
      </c>
      <c r="N21" s="259">
        <f t="shared" si="2"/>
        <v>-25772</v>
      </c>
      <c r="P21" s="237">
        <f t="shared" si="3"/>
        <v>652249</v>
      </c>
      <c r="Q21" s="259">
        <f t="shared" si="4"/>
        <v>-226477</v>
      </c>
    </row>
    <row r="22" spans="1:17" ht="15.75" customHeight="1" x14ac:dyDescent="0.2">
      <c r="B22" s="238" t="s">
        <v>136</v>
      </c>
      <c r="C22" s="239">
        <f>SUM(C5:C21)</f>
        <v>22520964</v>
      </c>
      <c r="D22" s="240">
        <f>SUM(D5:D21)</f>
        <v>41200000</v>
      </c>
      <c r="E22" s="241">
        <f t="shared" ref="E22:J22" si="5">SUM(E5:E21)</f>
        <v>2125426</v>
      </c>
      <c r="F22" s="241">
        <f t="shared" si="5"/>
        <v>3467072</v>
      </c>
      <c r="G22" s="241">
        <f t="shared" si="5"/>
        <v>3937840</v>
      </c>
      <c r="H22" s="241">
        <f t="shared" si="5"/>
        <v>4234543</v>
      </c>
      <c r="I22" s="241">
        <f t="shared" si="5"/>
        <v>4765955</v>
      </c>
      <c r="J22" s="241">
        <f t="shared" si="5"/>
        <v>4844597</v>
      </c>
      <c r="K22" s="239">
        <f t="shared" si="0"/>
        <v>23375433</v>
      </c>
      <c r="L22" s="260"/>
      <c r="M22" s="266">
        <f t="shared" si="1"/>
        <v>46750866</v>
      </c>
      <c r="N22" s="267">
        <f t="shared" si="2"/>
        <v>-5550866</v>
      </c>
      <c r="P22" s="242">
        <f>SUM(P5:P21)</f>
        <v>58554506.399999999</v>
      </c>
      <c r="Q22" s="242">
        <f>SUM(Q5:Q21)</f>
        <v>-11803640.4</v>
      </c>
    </row>
    <row r="23" spans="1:17" ht="9" customHeight="1" x14ac:dyDescent="0.2">
      <c r="B23" s="243"/>
      <c r="D23" s="244"/>
      <c r="M23" s="264"/>
      <c r="N23" s="265"/>
    </row>
    <row r="24" spans="1:17" ht="15.75" customHeight="1" x14ac:dyDescent="0.2">
      <c r="A24" s="220" t="s">
        <v>64</v>
      </c>
      <c r="B24" s="220"/>
      <c r="M24" s="264"/>
      <c r="N24" s="265"/>
    </row>
    <row r="25" spans="1:17" ht="15.75" customHeight="1" x14ac:dyDescent="0.2">
      <c r="A25" s="231">
        <v>1</v>
      </c>
      <c r="B25" s="232" t="s">
        <v>222</v>
      </c>
      <c r="C25" s="233">
        <v>296122</v>
      </c>
      <c r="D25" s="258">
        <v>680000</v>
      </c>
      <c r="E25" s="235">
        <v>54057</v>
      </c>
      <c r="F25" s="235">
        <v>65001</v>
      </c>
      <c r="G25" s="235">
        <v>83906</v>
      </c>
      <c r="H25" s="235">
        <v>71230</v>
      </c>
      <c r="I25" s="235">
        <v>79894</v>
      </c>
      <c r="J25" s="235">
        <v>70471</v>
      </c>
      <c r="K25" s="236">
        <f t="shared" ref="K25:K43" si="6">SUM(E25:J25)</f>
        <v>424559</v>
      </c>
      <c r="M25" s="237">
        <f t="shared" si="1"/>
        <v>849118</v>
      </c>
      <c r="N25" s="259">
        <f t="shared" ref="N25:N43" si="7">+D25-M25</f>
        <v>-169118</v>
      </c>
      <c r="P25" s="237">
        <f t="shared" ref="P25:P41" si="8">+C25*1.3*2</f>
        <v>769917.20000000007</v>
      </c>
      <c r="Q25" s="259">
        <f t="shared" ref="Q25:Q41" si="9">-P25+M25</f>
        <v>79200.79999999993</v>
      </c>
    </row>
    <row r="26" spans="1:17" ht="15.75" customHeight="1" x14ac:dyDescent="0.2">
      <c r="A26" s="231">
        <v>2</v>
      </c>
      <c r="B26" s="232" t="s">
        <v>223</v>
      </c>
      <c r="C26" s="233">
        <v>2079326</v>
      </c>
      <c r="D26" s="258">
        <v>4500000</v>
      </c>
      <c r="E26" s="235">
        <v>309549</v>
      </c>
      <c r="F26" s="235">
        <v>300925</v>
      </c>
      <c r="G26" s="235">
        <v>403154</v>
      </c>
      <c r="H26" s="235">
        <v>289780</v>
      </c>
      <c r="I26" s="235">
        <v>389577</v>
      </c>
      <c r="J26" s="235">
        <v>358757</v>
      </c>
      <c r="K26" s="236">
        <f t="shared" si="6"/>
        <v>2051742</v>
      </c>
      <c r="M26" s="237">
        <f t="shared" si="1"/>
        <v>4103484</v>
      </c>
      <c r="N26" s="259">
        <f t="shared" si="7"/>
        <v>396516</v>
      </c>
      <c r="P26" s="237">
        <f t="shared" si="8"/>
        <v>5406247.6000000006</v>
      </c>
      <c r="Q26" s="259">
        <f t="shared" si="9"/>
        <v>-1302763.6000000006</v>
      </c>
    </row>
    <row r="27" spans="1:17" ht="15.75" customHeight="1" x14ac:dyDescent="0.2">
      <c r="A27" s="231">
        <v>4</v>
      </c>
      <c r="B27" s="232" t="s">
        <v>224</v>
      </c>
      <c r="C27" s="233">
        <v>150682</v>
      </c>
      <c r="D27" s="258">
        <v>320000</v>
      </c>
      <c r="E27" s="235">
        <v>28178</v>
      </c>
      <c r="F27" s="235">
        <v>7228</v>
      </c>
      <c r="G27" s="235">
        <v>27594</v>
      </c>
      <c r="H27" s="235">
        <v>49316</v>
      </c>
      <c r="I27" s="235">
        <v>44365</v>
      </c>
      <c r="J27" s="235">
        <v>28146</v>
      </c>
      <c r="K27" s="236">
        <f t="shared" si="6"/>
        <v>184827</v>
      </c>
      <c r="M27" s="237">
        <f t="shared" si="1"/>
        <v>369654</v>
      </c>
      <c r="N27" s="259">
        <f t="shared" si="7"/>
        <v>-49654</v>
      </c>
      <c r="P27" s="237">
        <f t="shared" si="8"/>
        <v>391773.2</v>
      </c>
      <c r="Q27" s="259">
        <f t="shared" si="9"/>
        <v>-22119.200000000012</v>
      </c>
    </row>
    <row r="28" spans="1:17" ht="15.75" customHeight="1" x14ac:dyDescent="0.2">
      <c r="A28" s="231">
        <v>5</v>
      </c>
      <c r="B28" s="232" t="s">
        <v>225</v>
      </c>
      <c r="C28" s="233">
        <v>289322</v>
      </c>
      <c r="D28" s="258">
        <v>1000000</v>
      </c>
      <c r="E28" s="235">
        <v>30210</v>
      </c>
      <c r="F28" s="235">
        <v>12375</v>
      </c>
      <c r="G28" s="235">
        <v>73437</v>
      </c>
      <c r="H28" s="235">
        <v>56896</v>
      </c>
      <c r="I28" s="235">
        <v>50120</v>
      </c>
      <c r="J28" s="235">
        <v>9266</v>
      </c>
      <c r="K28" s="236">
        <f t="shared" si="6"/>
        <v>232304</v>
      </c>
      <c r="M28" s="237">
        <f t="shared" si="1"/>
        <v>464608</v>
      </c>
      <c r="N28" s="259">
        <f t="shared" si="7"/>
        <v>535392</v>
      </c>
      <c r="P28" s="237">
        <f t="shared" si="8"/>
        <v>752237.20000000007</v>
      </c>
      <c r="Q28" s="259">
        <f t="shared" si="9"/>
        <v>-287629.20000000007</v>
      </c>
    </row>
    <row r="29" spans="1:17" ht="15.75" customHeight="1" x14ac:dyDescent="0.2">
      <c r="A29" s="231">
        <v>6</v>
      </c>
      <c r="B29" s="232" t="s">
        <v>226</v>
      </c>
      <c r="C29" s="233">
        <v>2014098</v>
      </c>
      <c r="D29" s="258">
        <v>3000000</v>
      </c>
      <c r="E29" s="235">
        <v>65356</v>
      </c>
      <c r="F29" s="235">
        <v>93116</v>
      </c>
      <c r="G29" s="235">
        <v>273733</v>
      </c>
      <c r="H29" s="235">
        <v>261852</v>
      </c>
      <c r="I29" s="235">
        <v>408289</v>
      </c>
      <c r="J29" s="235">
        <v>187330</v>
      </c>
      <c r="K29" s="236">
        <f t="shared" si="6"/>
        <v>1289676</v>
      </c>
      <c r="M29" s="237">
        <f t="shared" si="1"/>
        <v>2579352</v>
      </c>
      <c r="N29" s="259">
        <f t="shared" si="7"/>
        <v>420648</v>
      </c>
      <c r="P29" s="237">
        <f t="shared" si="8"/>
        <v>5236654.8</v>
      </c>
      <c r="Q29" s="259">
        <f t="shared" si="9"/>
        <v>-2657302.7999999998</v>
      </c>
    </row>
    <row r="30" spans="1:17" ht="15.75" customHeight="1" x14ac:dyDescent="0.2">
      <c r="A30" s="231">
        <v>7</v>
      </c>
      <c r="B30" s="232" t="s">
        <v>227</v>
      </c>
      <c r="C30" s="233">
        <v>846330</v>
      </c>
      <c r="D30" s="258">
        <v>1500000</v>
      </c>
      <c r="E30" s="235">
        <v>84871</v>
      </c>
      <c r="F30" s="235">
        <v>151744</v>
      </c>
      <c r="G30" s="235">
        <v>103847</v>
      </c>
      <c r="H30" s="235">
        <v>121218</v>
      </c>
      <c r="I30" s="235">
        <v>83807</v>
      </c>
      <c r="J30" s="235">
        <v>90765</v>
      </c>
      <c r="K30" s="236">
        <f t="shared" si="6"/>
        <v>636252</v>
      </c>
      <c r="M30" s="237">
        <f t="shared" si="1"/>
        <v>1272504</v>
      </c>
      <c r="N30" s="259">
        <f t="shared" si="7"/>
        <v>227496</v>
      </c>
      <c r="P30" s="237">
        <f t="shared" si="8"/>
        <v>2200458</v>
      </c>
      <c r="Q30" s="259">
        <f t="shared" si="9"/>
        <v>-927954</v>
      </c>
    </row>
    <row r="31" spans="1:17" ht="15.75" customHeight="1" x14ac:dyDescent="0.2">
      <c r="A31" s="231">
        <v>8</v>
      </c>
      <c r="B31" s="232" t="s">
        <v>228</v>
      </c>
      <c r="C31" s="233">
        <v>457437</v>
      </c>
      <c r="D31" s="258">
        <v>900000</v>
      </c>
      <c r="E31" s="235">
        <v>62992</v>
      </c>
      <c r="F31" s="235">
        <v>51715</v>
      </c>
      <c r="G31" s="235">
        <v>43506</v>
      </c>
      <c r="H31" s="235">
        <v>79544</v>
      </c>
      <c r="I31" s="235">
        <v>69060</v>
      </c>
      <c r="J31" s="235">
        <v>71540</v>
      </c>
      <c r="K31" s="236">
        <f t="shared" si="6"/>
        <v>378357</v>
      </c>
      <c r="M31" s="237">
        <f t="shared" si="1"/>
        <v>756714</v>
      </c>
      <c r="N31" s="259">
        <f t="shared" si="7"/>
        <v>143286</v>
      </c>
      <c r="P31" s="237">
        <f t="shared" si="8"/>
        <v>1189336.2</v>
      </c>
      <c r="Q31" s="259">
        <f t="shared" si="9"/>
        <v>-432622.19999999995</v>
      </c>
    </row>
    <row r="32" spans="1:17" ht="15.75" customHeight="1" x14ac:dyDescent="0.2">
      <c r="A32" s="231">
        <v>9</v>
      </c>
      <c r="B32" s="232" t="s">
        <v>229</v>
      </c>
      <c r="C32" s="233">
        <v>4068578</v>
      </c>
      <c r="D32" s="258">
        <v>7500000</v>
      </c>
      <c r="E32" s="235">
        <v>422378</v>
      </c>
      <c r="F32" s="235">
        <v>653508</v>
      </c>
      <c r="G32" s="235">
        <v>669472</v>
      </c>
      <c r="H32" s="235">
        <v>624834</v>
      </c>
      <c r="I32" s="235">
        <v>834030</v>
      </c>
      <c r="J32" s="235">
        <v>498128</v>
      </c>
      <c r="K32" s="236">
        <f t="shared" si="6"/>
        <v>3702350</v>
      </c>
      <c r="M32" s="237">
        <f t="shared" si="1"/>
        <v>7404700</v>
      </c>
      <c r="N32" s="259">
        <f t="shared" si="7"/>
        <v>95300</v>
      </c>
      <c r="P32" s="237">
        <f t="shared" si="8"/>
        <v>10578302.800000001</v>
      </c>
      <c r="Q32" s="259">
        <f t="shared" si="9"/>
        <v>-3173602.8000000007</v>
      </c>
    </row>
    <row r="33" spans="1:17" ht="15.75" customHeight="1" x14ac:dyDescent="0.2">
      <c r="A33" s="231">
        <v>10</v>
      </c>
      <c r="B33" s="232" t="s">
        <v>230</v>
      </c>
      <c r="C33" s="233">
        <v>322756</v>
      </c>
      <c r="D33" s="258">
        <v>1600000</v>
      </c>
      <c r="E33" s="235">
        <v>27434</v>
      </c>
      <c r="F33" s="235">
        <v>23333</v>
      </c>
      <c r="G33" s="235">
        <v>51762</v>
      </c>
      <c r="H33" s="235">
        <v>94500</v>
      </c>
      <c r="I33" s="235">
        <v>124461</v>
      </c>
      <c r="J33" s="235">
        <v>155889</v>
      </c>
      <c r="K33" s="236">
        <f t="shared" si="6"/>
        <v>477379</v>
      </c>
      <c r="M33" s="237">
        <f t="shared" si="1"/>
        <v>954758</v>
      </c>
      <c r="N33" s="259">
        <f t="shared" si="7"/>
        <v>645242</v>
      </c>
      <c r="P33" s="237">
        <f t="shared" si="8"/>
        <v>839165.6</v>
      </c>
      <c r="Q33" s="259">
        <f t="shared" si="9"/>
        <v>115592.40000000002</v>
      </c>
    </row>
    <row r="34" spans="1:17" ht="15.75" customHeight="1" x14ac:dyDescent="0.2">
      <c r="A34" s="231">
        <v>11</v>
      </c>
      <c r="B34" s="232" t="s">
        <v>231</v>
      </c>
      <c r="C34" s="233">
        <v>0</v>
      </c>
      <c r="D34" s="258"/>
      <c r="E34" s="235">
        <v>7500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6">
        <f t="shared" si="6"/>
        <v>7500</v>
      </c>
      <c r="M34" s="237">
        <f t="shared" si="1"/>
        <v>15000</v>
      </c>
      <c r="N34" s="259">
        <f t="shared" si="7"/>
        <v>-15000</v>
      </c>
      <c r="P34" s="237">
        <f t="shared" si="8"/>
        <v>0</v>
      </c>
      <c r="Q34" s="259">
        <f t="shared" si="9"/>
        <v>15000</v>
      </c>
    </row>
    <row r="35" spans="1:17" ht="15.75" customHeight="1" x14ac:dyDescent="0.2">
      <c r="A35" s="231">
        <v>12</v>
      </c>
      <c r="B35" s="232" t="s">
        <v>232</v>
      </c>
      <c r="C35" s="233">
        <v>150313</v>
      </c>
      <c r="D35" s="258">
        <v>350000</v>
      </c>
      <c r="E35" s="235">
        <v>61208</v>
      </c>
      <c r="F35" s="235">
        <v>28415</v>
      </c>
      <c r="G35" s="235">
        <v>97354</v>
      </c>
      <c r="H35" s="235">
        <v>51367</v>
      </c>
      <c r="I35" s="235">
        <v>41007</v>
      </c>
      <c r="J35" s="235">
        <v>20709</v>
      </c>
      <c r="K35" s="236">
        <f t="shared" si="6"/>
        <v>300060</v>
      </c>
      <c r="M35" s="237">
        <f t="shared" si="1"/>
        <v>600120</v>
      </c>
      <c r="N35" s="259">
        <f t="shared" si="7"/>
        <v>-250120</v>
      </c>
      <c r="P35" s="237">
        <f t="shared" si="8"/>
        <v>390813.8</v>
      </c>
      <c r="Q35" s="259">
        <f t="shared" si="9"/>
        <v>209306.2</v>
      </c>
    </row>
    <row r="36" spans="1:17" ht="15.75" customHeight="1" x14ac:dyDescent="0.2">
      <c r="A36" s="231">
        <v>13</v>
      </c>
      <c r="B36" s="232" t="s">
        <v>233</v>
      </c>
      <c r="C36" s="233">
        <v>615026</v>
      </c>
      <c r="D36" s="258">
        <v>1000000</v>
      </c>
      <c r="E36" s="235">
        <v>65686</v>
      </c>
      <c r="F36" s="235">
        <v>60611</v>
      </c>
      <c r="G36" s="235">
        <v>112851</v>
      </c>
      <c r="H36" s="235">
        <v>125385</v>
      </c>
      <c r="I36" s="235">
        <v>175147</v>
      </c>
      <c r="J36" s="235">
        <v>125694</v>
      </c>
      <c r="K36" s="236">
        <f t="shared" si="6"/>
        <v>665374</v>
      </c>
      <c r="M36" s="237">
        <f t="shared" si="1"/>
        <v>1330748</v>
      </c>
      <c r="N36" s="259">
        <f t="shared" si="7"/>
        <v>-330748</v>
      </c>
      <c r="P36" s="237">
        <f t="shared" si="8"/>
        <v>1599067.6</v>
      </c>
      <c r="Q36" s="259">
        <f t="shared" si="9"/>
        <v>-268319.60000000009</v>
      </c>
    </row>
    <row r="37" spans="1:17" ht="15.75" customHeight="1" x14ac:dyDescent="0.2">
      <c r="A37" s="231">
        <v>14</v>
      </c>
      <c r="B37" s="232" t="s">
        <v>234</v>
      </c>
      <c r="C37" s="233">
        <v>102950</v>
      </c>
      <c r="D37" s="258">
        <v>200000</v>
      </c>
      <c r="E37" s="235">
        <v>285</v>
      </c>
      <c r="F37" s="235">
        <v>0</v>
      </c>
      <c r="G37" s="235">
        <v>29282</v>
      </c>
      <c r="H37" s="235">
        <v>6500</v>
      </c>
      <c r="I37" s="235">
        <v>11635</v>
      </c>
      <c r="J37" s="235">
        <v>0</v>
      </c>
      <c r="K37" s="236">
        <f t="shared" si="6"/>
        <v>47702</v>
      </c>
      <c r="M37" s="237">
        <f t="shared" si="1"/>
        <v>95404</v>
      </c>
      <c r="N37" s="259">
        <f t="shared" si="7"/>
        <v>104596</v>
      </c>
      <c r="P37" s="237">
        <f t="shared" si="8"/>
        <v>267670</v>
      </c>
      <c r="Q37" s="259">
        <f t="shared" si="9"/>
        <v>-172266</v>
      </c>
    </row>
    <row r="38" spans="1:17" ht="15.75" customHeight="1" x14ac:dyDescent="0.2">
      <c r="A38" s="231">
        <v>15</v>
      </c>
      <c r="B38" s="232" t="s">
        <v>235</v>
      </c>
      <c r="C38" s="233">
        <v>382724</v>
      </c>
      <c r="D38" s="258">
        <v>750000</v>
      </c>
      <c r="E38" s="235">
        <v>45061</v>
      </c>
      <c r="F38" s="235">
        <v>129802</v>
      </c>
      <c r="G38" s="235">
        <v>48477</v>
      </c>
      <c r="H38" s="235">
        <v>14808</v>
      </c>
      <c r="I38" s="235">
        <v>54998</v>
      </c>
      <c r="J38" s="235">
        <v>49274</v>
      </c>
      <c r="K38" s="236">
        <f t="shared" si="6"/>
        <v>342420</v>
      </c>
      <c r="M38" s="237">
        <f t="shared" si="1"/>
        <v>684840</v>
      </c>
      <c r="N38" s="259">
        <f t="shared" si="7"/>
        <v>65160</v>
      </c>
      <c r="P38" s="237">
        <f t="shared" si="8"/>
        <v>995082.4</v>
      </c>
      <c r="Q38" s="259">
        <f t="shared" si="9"/>
        <v>-310242.40000000002</v>
      </c>
    </row>
    <row r="39" spans="1:17" ht="15.75" customHeight="1" x14ac:dyDescent="0.2">
      <c r="A39" s="231">
        <v>18</v>
      </c>
      <c r="B39" s="232" t="s">
        <v>236</v>
      </c>
      <c r="C39" s="233">
        <v>120051</v>
      </c>
      <c r="D39" s="261">
        <v>480000</v>
      </c>
      <c r="E39" s="235">
        <v>206136</v>
      </c>
      <c r="F39" s="235">
        <v>123737</v>
      </c>
      <c r="G39" s="235">
        <v>11410</v>
      </c>
      <c r="H39" s="235">
        <v>553</v>
      </c>
      <c r="I39" s="235">
        <v>0</v>
      </c>
      <c r="J39" s="235">
        <v>0</v>
      </c>
      <c r="K39" s="236">
        <f t="shared" si="6"/>
        <v>341836</v>
      </c>
      <c r="M39" s="237">
        <f t="shared" si="1"/>
        <v>683672</v>
      </c>
      <c r="N39" s="259">
        <f t="shared" si="7"/>
        <v>-203672</v>
      </c>
      <c r="P39" s="237">
        <f t="shared" si="8"/>
        <v>312132.60000000003</v>
      </c>
      <c r="Q39" s="259">
        <f t="shared" si="9"/>
        <v>371539.39999999997</v>
      </c>
    </row>
    <row r="40" spans="1:17" ht="15.75" customHeight="1" x14ac:dyDescent="0.2">
      <c r="A40" s="231">
        <v>19</v>
      </c>
      <c r="B40" s="232" t="s">
        <v>237</v>
      </c>
      <c r="C40" s="233">
        <v>91746</v>
      </c>
      <c r="D40" s="261">
        <v>300000</v>
      </c>
      <c r="E40" s="235">
        <v>10442</v>
      </c>
      <c r="F40" s="235">
        <v>8593</v>
      </c>
      <c r="G40" s="235">
        <v>77390</v>
      </c>
      <c r="H40" s="235">
        <v>25396</v>
      </c>
      <c r="I40" s="235">
        <v>20289</v>
      </c>
      <c r="J40" s="235">
        <v>16116</v>
      </c>
      <c r="K40" s="236">
        <f t="shared" si="6"/>
        <v>158226</v>
      </c>
      <c r="M40" s="237">
        <f t="shared" si="1"/>
        <v>316452</v>
      </c>
      <c r="N40" s="259">
        <f t="shared" si="7"/>
        <v>-16452</v>
      </c>
      <c r="P40" s="237">
        <f t="shared" si="8"/>
        <v>238539.6</v>
      </c>
      <c r="Q40" s="259">
        <f t="shared" si="9"/>
        <v>77912.399999999994</v>
      </c>
    </row>
    <row r="41" spans="1:17" ht="15.75" customHeight="1" x14ac:dyDescent="0.2">
      <c r="A41" s="231">
        <v>20</v>
      </c>
      <c r="B41" s="232" t="s">
        <v>238</v>
      </c>
      <c r="C41" s="233">
        <v>22529</v>
      </c>
      <c r="D41" s="261">
        <v>30000</v>
      </c>
      <c r="E41" s="235">
        <v>198</v>
      </c>
      <c r="F41" s="235">
        <v>927</v>
      </c>
      <c r="G41" s="235">
        <v>3728</v>
      </c>
      <c r="H41" s="235">
        <v>3600</v>
      </c>
      <c r="I41" s="235">
        <v>8538</v>
      </c>
      <c r="J41" s="235">
        <v>5891</v>
      </c>
      <c r="K41" s="236">
        <f t="shared" si="6"/>
        <v>22882</v>
      </c>
      <c r="M41" s="237">
        <f t="shared" si="1"/>
        <v>45764</v>
      </c>
      <c r="N41" s="259">
        <f t="shared" si="7"/>
        <v>-15764</v>
      </c>
      <c r="P41" s="237">
        <f t="shared" si="8"/>
        <v>58575.4</v>
      </c>
      <c r="Q41" s="259">
        <f t="shared" si="9"/>
        <v>-12811.400000000001</v>
      </c>
    </row>
    <row r="42" spans="1:17" ht="15.75" customHeight="1" x14ac:dyDescent="0.2">
      <c r="B42" s="238" t="s">
        <v>136</v>
      </c>
      <c r="C42" s="239">
        <f>SUM(C25:C41)</f>
        <v>12009990</v>
      </c>
      <c r="D42" s="245">
        <f>SUM(D27:D41)</f>
        <v>18930000</v>
      </c>
      <c r="E42" s="241">
        <f t="shared" ref="E42:J42" si="10">SUM(E25:E41)</f>
        <v>1481541</v>
      </c>
      <c r="F42" s="241">
        <f t="shared" si="10"/>
        <v>1711030</v>
      </c>
      <c r="G42" s="241">
        <f t="shared" si="10"/>
        <v>2110903</v>
      </c>
      <c r="H42" s="241">
        <f t="shared" si="10"/>
        <v>1876779</v>
      </c>
      <c r="I42" s="241">
        <f t="shared" si="10"/>
        <v>2395217</v>
      </c>
      <c r="J42" s="241">
        <f t="shared" si="10"/>
        <v>1687976</v>
      </c>
      <c r="K42" s="239">
        <f t="shared" si="6"/>
        <v>11263446</v>
      </c>
      <c r="L42" s="260"/>
      <c r="M42" s="266">
        <f t="shared" si="1"/>
        <v>22526892</v>
      </c>
      <c r="N42" s="267">
        <f t="shared" si="7"/>
        <v>-3596892</v>
      </c>
      <c r="P42" s="242">
        <f>SUM(P25:P41)</f>
        <v>31225974.000000004</v>
      </c>
      <c r="Q42" s="242">
        <f>SUM(Q25:Q41)</f>
        <v>-8699082</v>
      </c>
    </row>
    <row r="43" spans="1:17" ht="15.75" customHeight="1" x14ac:dyDescent="0.2">
      <c r="C43" s="246">
        <f>+C22+C42</f>
        <v>34530954</v>
      </c>
      <c r="D43" s="247">
        <f>+D22+D42</f>
        <v>60130000</v>
      </c>
      <c r="E43" s="248">
        <f>+E22+E42</f>
        <v>3606967</v>
      </c>
      <c r="F43" s="248">
        <f>+F22+F42</f>
        <v>5178102</v>
      </c>
      <c r="G43" s="248">
        <f>+G22+G42</f>
        <v>6048743</v>
      </c>
      <c r="H43" s="248">
        <f>+H22+H42</f>
        <v>6111322</v>
      </c>
      <c r="I43" s="248">
        <f>+I42+I22</f>
        <v>7161172</v>
      </c>
      <c r="J43" s="248">
        <f>+J22+J42</f>
        <v>6532573</v>
      </c>
      <c r="K43" s="246">
        <f t="shared" si="6"/>
        <v>34638879</v>
      </c>
      <c r="L43" s="262"/>
      <c r="M43" s="268">
        <f t="shared" si="1"/>
        <v>69277758</v>
      </c>
      <c r="N43" s="267">
        <f t="shared" si="7"/>
        <v>-9147758</v>
      </c>
      <c r="P43" s="249">
        <f>+P22+P42</f>
        <v>89780480.400000006</v>
      </c>
      <c r="Q43" s="249">
        <f>+Q22+Q42</f>
        <v>-20502722.399999999</v>
      </c>
    </row>
    <row r="44" spans="1:17" ht="15.75" customHeight="1" x14ac:dyDescent="0.2">
      <c r="D44" s="250"/>
      <c r="J44" s="251"/>
    </row>
    <row r="45" spans="1:17" ht="15.75" customHeight="1" x14ac:dyDescent="0.2">
      <c r="D45" s="252"/>
    </row>
    <row r="46" spans="1:17" ht="15.75" customHeight="1" x14ac:dyDescent="0.2">
      <c r="D46" s="253"/>
    </row>
    <row r="47" spans="1:17" ht="28.5" customHeight="1" x14ac:dyDescent="0.2">
      <c r="B47" s="275" t="s">
        <v>197</v>
      </c>
      <c r="C47" s="276" t="s">
        <v>288</v>
      </c>
      <c r="D47" s="277"/>
      <c r="E47" s="278" t="s">
        <v>286</v>
      </c>
      <c r="F47" s="278" t="s">
        <v>70</v>
      </c>
      <c r="G47" s="278" t="s">
        <v>71</v>
      </c>
      <c r="H47" s="278" t="s">
        <v>73</v>
      </c>
      <c r="I47" s="278" t="s">
        <v>74</v>
      </c>
      <c r="J47" s="278" t="s">
        <v>75</v>
      </c>
      <c r="K47" s="276" t="s">
        <v>287</v>
      </c>
      <c r="M47" s="255" t="s">
        <v>294</v>
      </c>
    </row>
    <row r="48" spans="1:17" ht="15.75" customHeight="1" x14ac:dyDescent="0.2">
      <c r="B48" s="232" t="str">
        <f t="shared" ref="B48:B85" si="11">+B5</f>
        <v>Alquileres</v>
      </c>
      <c r="C48" s="279">
        <f>+C5/C$43</f>
        <v>0.1555805843070539</v>
      </c>
      <c r="D48" s="234"/>
      <c r="E48" s="279">
        <f t="shared" ref="E48:F63" si="12">+E5/E$43</f>
        <v>2.0793092922668822E-3</v>
      </c>
      <c r="F48" s="279">
        <f t="shared" si="12"/>
        <v>1.4484071576805555E-3</v>
      </c>
      <c r="G48" s="279">
        <f t="shared" ref="G48:G85" si="13">+G5/$G$43</f>
        <v>1.1293751445548273E-2</v>
      </c>
      <c r="H48" s="279">
        <f t="shared" ref="H48:H85" si="14">+H5/$H$43</f>
        <v>1.49486477721187E-2</v>
      </c>
      <c r="I48" s="279">
        <f t="shared" ref="I48:I85" si="15">+I5/$I$43</f>
        <v>3.333672197791088E-3</v>
      </c>
      <c r="J48" s="279">
        <f t="shared" ref="J48:J85" si="16">+J5/$J$43</f>
        <v>4.7335559816935838E-2</v>
      </c>
      <c r="K48" s="279">
        <f t="shared" ref="K48:K85" si="17">+K5/$K$43</f>
        <v>1.465881733643863E-2</v>
      </c>
      <c r="M48" s="283">
        <f>+K48-C48</f>
        <v>-0.14092176697061529</v>
      </c>
    </row>
    <row r="49" spans="2:13" ht="15.75" customHeight="1" x14ac:dyDescent="0.2">
      <c r="B49" s="232" t="str">
        <f t="shared" si="11"/>
        <v>Comisiones</v>
      </c>
      <c r="C49" s="279">
        <f>+C6/C$43</f>
        <v>6.3875153869192266E-3</v>
      </c>
      <c r="D49" s="234"/>
      <c r="E49" s="279">
        <f t="shared" si="12"/>
        <v>3.5403706216330784E-4</v>
      </c>
      <c r="F49" s="279">
        <f t="shared" si="12"/>
        <v>1.7375285384490301E-2</v>
      </c>
      <c r="G49" s="279">
        <f t="shared" si="13"/>
        <v>2.8872114421128487E-3</v>
      </c>
      <c r="H49" s="279">
        <f t="shared" si="14"/>
        <v>6.0278283487598915E-3</v>
      </c>
      <c r="I49" s="279">
        <f t="shared" si="15"/>
        <v>4.1405233668455384E-3</v>
      </c>
      <c r="J49" s="279">
        <f t="shared" si="16"/>
        <v>5.2878092598429441E-3</v>
      </c>
      <c r="K49" s="279">
        <f t="shared" si="17"/>
        <v>6.0551613116579207E-3</v>
      </c>
      <c r="M49" s="283">
        <f t="shared" ref="M49:M65" si="18">+K49-C49</f>
        <v>-3.3235407526130585E-4</v>
      </c>
    </row>
    <row r="50" spans="2:13" ht="15.75" customHeight="1" x14ac:dyDescent="0.2">
      <c r="B50" s="232" t="str">
        <f t="shared" si="11"/>
        <v>Comunicaciones (internet)</v>
      </c>
      <c r="C50" s="279">
        <f>+C7/C$43</f>
        <v>3.093108866902432E-3</v>
      </c>
      <c r="D50" s="234"/>
      <c r="E50" s="279">
        <f t="shared" si="12"/>
        <v>6.3116740463663792E-3</v>
      </c>
      <c r="F50" s="279">
        <f t="shared" si="12"/>
        <v>4.582760246901278E-3</v>
      </c>
      <c r="G50" s="279">
        <f t="shared" si="13"/>
        <v>4.8780382965518624E-3</v>
      </c>
      <c r="H50" s="279">
        <f t="shared" si="14"/>
        <v>3.2156708483041803E-3</v>
      </c>
      <c r="I50" s="279">
        <f t="shared" si="15"/>
        <v>5.2559832384978323E-3</v>
      </c>
      <c r="J50" s="279">
        <f t="shared" si="16"/>
        <v>2.9968283553815627E-3</v>
      </c>
      <c r="K50" s="279">
        <f t="shared" si="17"/>
        <v>4.4132490546244293E-3</v>
      </c>
      <c r="M50" s="283">
        <f t="shared" si="18"/>
        <v>1.3201401877219973E-3</v>
      </c>
    </row>
    <row r="51" spans="2:13" ht="15.75" customHeight="1" x14ac:dyDescent="0.2">
      <c r="B51" s="232" t="str">
        <f t="shared" si="11"/>
        <v>Reparaciones</v>
      </c>
      <c r="C51" s="279">
        <f>+C8/C$43</f>
        <v>2.7582325121976069E-2</v>
      </c>
      <c r="D51" s="234"/>
      <c r="E51" s="279">
        <f t="shared" si="12"/>
        <v>1.386261643092382E-2</v>
      </c>
      <c r="F51" s="279">
        <f t="shared" si="12"/>
        <v>3.029256665859421E-2</v>
      </c>
      <c r="G51" s="279">
        <f t="shared" si="13"/>
        <v>2.087904875442716E-2</v>
      </c>
      <c r="H51" s="279">
        <f t="shared" si="14"/>
        <v>1.8488143809146367E-2</v>
      </c>
      <c r="I51" s="279">
        <f t="shared" si="15"/>
        <v>1.2464300536280932E-2</v>
      </c>
      <c r="J51" s="279">
        <f t="shared" si="16"/>
        <v>1.2472267818515001E-2</v>
      </c>
      <c r="K51" s="279">
        <f t="shared" si="17"/>
        <v>1.7808717193186305E-2</v>
      </c>
      <c r="M51" s="283">
        <f t="shared" si="18"/>
        <v>-9.773607928789764E-3</v>
      </c>
    </row>
    <row r="52" spans="2:13" ht="15.75" customHeight="1" x14ac:dyDescent="0.2">
      <c r="B52" s="232" t="str">
        <f t="shared" si="11"/>
        <v>Gomería</v>
      </c>
      <c r="C52" s="279">
        <f>+C9/C$43</f>
        <v>3.7156517598673933E-3</v>
      </c>
      <c r="D52" s="234"/>
      <c r="E52" s="279">
        <f t="shared" si="12"/>
        <v>1.2618080509192348E-2</v>
      </c>
      <c r="F52" s="279">
        <f t="shared" si="12"/>
        <v>4.2038569344520441E-3</v>
      </c>
      <c r="G52" s="279">
        <f t="shared" si="13"/>
        <v>5.2090161542654402E-3</v>
      </c>
      <c r="H52" s="279">
        <f t="shared" si="14"/>
        <v>2.8337567550850698E-3</v>
      </c>
      <c r="I52" s="279">
        <f t="shared" si="15"/>
        <v>2.4421980089292645E-3</v>
      </c>
      <c r="J52" s="279">
        <f t="shared" si="16"/>
        <v>3.7524264941241376E-3</v>
      </c>
      <c r="K52" s="279">
        <f t="shared" si="17"/>
        <v>4.5644952886610447E-3</v>
      </c>
      <c r="M52" s="283">
        <f t="shared" si="18"/>
        <v>8.4884352879365139E-4</v>
      </c>
    </row>
    <row r="53" spans="2:13" ht="15.75" customHeight="1" x14ac:dyDescent="0.2">
      <c r="B53" s="232" t="str">
        <f t="shared" si="11"/>
        <v>Correo</v>
      </c>
      <c r="C53" s="279">
        <f>+C10/C$43</f>
        <v>1.240481221572969E-3</v>
      </c>
      <c r="D53" s="234"/>
      <c r="E53" s="279">
        <f t="shared" si="12"/>
        <v>5.2315421793434761E-4</v>
      </c>
      <c r="F53" s="279">
        <f t="shared" si="12"/>
        <v>5.7820413734607778E-4</v>
      </c>
      <c r="G53" s="279">
        <f t="shared" si="13"/>
        <v>8.9902976535786029E-4</v>
      </c>
      <c r="H53" s="279">
        <f t="shared" si="14"/>
        <v>4.1419843366132568E-3</v>
      </c>
      <c r="I53" s="279">
        <f t="shared" si="15"/>
        <v>5.6890129157629503E-4</v>
      </c>
      <c r="J53" s="279">
        <f t="shared" si="16"/>
        <v>2.2084713021959341E-3</v>
      </c>
      <c r="K53" s="279">
        <f t="shared" si="17"/>
        <v>1.5627815207299289E-3</v>
      </c>
      <c r="M53" s="283">
        <f t="shared" si="18"/>
        <v>3.2230029915695981E-4</v>
      </c>
    </row>
    <row r="54" spans="2:13" ht="15.75" customHeight="1" x14ac:dyDescent="0.2">
      <c r="B54" s="280" t="str">
        <f t="shared" si="11"/>
        <v>Electricidad</v>
      </c>
      <c r="C54" s="281">
        <f>+C11/C$43</f>
        <v>7.7875462114368466E-2</v>
      </c>
      <c r="D54" s="282"/>
      <c r="E54" s="281">
        <f t="shared" si="12"/>
        <v>0.10582519884434761</v>
      </c>
      <c r="F54" s="281">
        <f t="shared" si="12"/>
        <v>0.11630381170552453</v>
      </c>
      <c r="G54" s="281">
        <f t="shared" si="13"/>
        <v>0.14650101682283409</v>
      </c>
      <c r="H54" s="281">
        <f t="shared" si="14"/>
        <v>0.1724227589382461</v>
      </c>
      <c r="I54" s="281">
        <f t="shared" si="15"/>
        <v>0.13262326334292768</v>
      </c>
      <c r="J54" s="281">
        <f t="shared" si="16"/>
        <v>0.159616739070501</v>
      </c>
      <c r="K54" s="281">
        <f t="shared" si="17"/>
        <v>0.14192910226684877</v>
      </c>
      <c r="M54" s="283">
        <f t="shared" si="18"/>
        <v>6.4053640152480301E-2</v>
      </c>
    </row>
    <row r="55" spans="2:13" ht="15.75" customHeight="1" x14ac:dyDescent="0.2">
      <c r="B55" s="232" t="str">
        <f t="shared" si="11"/>
        <v>Gastos Judiciales</v>
      </c>
      <c r="C55" s="279">
        <f>+C12/C$43</f>
        <v>1.114599961530168E-2</v>
      </c>
      <c r="D55" s="234"/>
      <c r="E55" s="279">
        <f t="shared" si="12"/>
        <v>5.2287697669537872E-3</v>
      </c>
      <c r="F55" s="279">
        <f t="shared" si="12"/>
        <v>6.4337859702261566E-2</v>
      </c>
      <c r="G55" s="279">
        <f t="shared" si="13"/>
        <v>2.3173244424502745E-2</v>
      </c>
      <c r="H55" s="279">
        <f t="shared" si="14"/>
        <v>1.4835578946748347E-2</v>
      </c>
      <c r="I55" s="279">
        <f t="shared" si="15"/>
        <v>3.7192515415074519E-2</v>
      </c>
      <c r="J55" s="279">
        <f t="shared" si="16"/>
        <v>2.3062888084067333E-2</v>
      </c>
      <c r="K55" s="279">
        <f t="shared" si="17"/>
        <v>2.886479091889781E-2</v>
      </c>
      <c r="M55" s="283">
        <f t="shared" si="18"/>
        <v>1.7718791303596132E-2</v>
      </c>
    </row>
    <row r="56" spans="2:13" ht="15.75" customHeight="1" x14ac:dyDescent="0.2">
      <c r="B56" s="232" t="str">
        <f t="shared" si="11"/>
        <v>Honorarios</v>
      </c>
      <c r="C56" s="279">
        <f>+C13/C$43</f>
        <v>3.8534961993809957E-2</v>
      </c>
      <c r="D56" s="234"/>
      <c r="E56" s="279">
        <f t="shared" si="12"/>
        <v>6.6637704198569047E-3</v>
      </c>
      <c r="F56" s="279">
        <f t="shared" si="12"/>
        <v>1.9833522012505742E-2</v>
      </c>
      <c r="G56" s="279">
        <f t="shared" si="13"/>
        <v>1.4448621804563362E-2</v>
      </c>
      <c r="H56" s="279">
        <f t="shared" si="14"/>
        <v>2.134431797244524E-2</v>
      </c>
      <c r="I56" s="279">
        <f t="shared" si="15"/>
        <v>1.8133623937534246E-2</v>
      </c>
      <c r="J56" s="279">
        <f t="shared" si="16"/>
        <v>1.6891506608498672E-2</v>
      </c>
      <c r="K56" s="279">
        <f t="shared" si="17"/>
        <v>1.6882099446693988E-2</v>
      </c>
      <c r="M56" s="283">
        <f t="shared" si="18"/>
        <v>-2.1652862547115969E-2</v>
      </c>
    </row>
    <row r="57" spans="2:13" ht="15.75" customHeight="1" x14ac:dyDescent="0.2">
      <c r="B57" s="232" t="str">
        <f t="shared" si="11"/>
        <v>Hospedaje</v>
      </c>
      <c r="C57" s="279">
        <f>+C14/C$43</f>
        <v>1.3659628401810156E-3</v>
      </c>
      <c r="D57" s="234"/>
      <c r="E57" s="279">
        <f t="shared" si="12"/>
        <v>4.1586185845337648E-4</v>
      </c>
      <c r="F57" s="279">
        <f t="shared" si="12"/>
        <v>9.1771077510640004E-4</v>
      </c>
      <c r="G57" s="279">
        <f t="shared" si="13"/>
        <v>4.2157519339142032E-4</v>
      </c>
      <c r="H57" s="279">
        <f t="shared" si="14"/>
        <v>1.1012347246635016E-4</v>
      </c>
      <c r="I57" s="279">
        <f t="shared" si="15"/>
        <v>5.1248594503804687E-4</v>
      </c>
      <c r="J57" s="279">
        <f t="shared" si="16"/>
        <v>1.2828023506204983E-3</v>
      </c>
      <c r="K57" s="279">
        <f t="shared" si="17"/>
        <v>6.2141156473337377E-4</v>
      </c>
      <c r="M57" s="283">
        <f t="shared" si="18"/>
        <v>-7.4455127544764178E-4</v>
      </c>
    </row>
    <row r="58" spans="2:13" ht="15.75" customHeight="1" x14ac:dyDescent="0.2">
      <c r="B58" s="232" t="str">
        <f t="shared" si="11"/>
        <v>Pasajes</v>
      </c>
      <c r="C58" s="279">
        <f>+C15/C$43</f>
        <v>6.5381049130585848E-3</v>
      </c>
      <c r="D58" s="234"/>
      <c r="E58" s="279">
        <f t="shared" si="12"/>
        <v>3.4294741260455113E-4</v>
      </c>
      <c r="F58" s="279">
        <f t="shared" si="12"/>
        <v>4.6574980562375948E-3</v>
      </c>
      <c r="G58" s="279">
        <f t="shared" si="13"/>
        <v>6.3818218099198458E-3</v>
      </c>
      <c r="H58" s="279">
        <f t="shared" si="14"/>
        <v>4.1390389837092532E-3</v>
      </c>
      <c r="I58" s="279">
        <f t="shared" si="15"/>
        <v>1.8848869989437484E-3</v>
      </c>
      <c r="J58" s="279">
        <f t="shared" si="16"/>
        <v>1.0414579370180786E-2</v>
      </c>
      <c r="K58" s="279">
        <f t="shared" si="17"/>
        <v>4.9303847275196178E-3</v>
      </c>
      <c r="M58" s="283">
        <f t="shared" si="18"/>
        <v>-1.607720185538967E-3</v>
      </c>
    </row>
    <row r="59" spans="2:13" ht="15.75" customHeight="1" x14ac:dyDescent="0.2">
      <c r="B59" s="232" t="str">
        <f t="shared" si="11"/>
        <v>Publicidad</v>
      </c>
      <c r="C59" s="279">
        <f>+C16/C$43</f>
        <v>3.0617978292751483E-2</v>
      </c>
      <c r="D59" s="234"/>
      <c r="E59" s="279">
        <f t="shared" si="12"/>
        <v>6.2711968254769174E-3</v>
      </c>
      <c r="F59" s="279">
        <f t="shared" si="12"/>
        <v>9.8536104541779978E-3</v>
      </c>
      <c r="G59" s="279">
        <f t="shared" si="13"/>
        <v>1.6888798218076054E-2</v>
      </c>
      <c r="H59" s="279">
        <f t="shared" si="14"/>
        <v>1.6586263986744603E-2</v>
      </c>
      <c r="I59" s="279">
        <f t="shared" si="15"/>
        <v>1.1753104100837125E-2</v>
      </c>
      <c r="J59" s="279">
        <f t="shared" si="16"/>
        <v>9.8953352683544445E-3</v>
      </c>
      <c r="K59" s="279">
        <f t="shared" si="17"/>
        <v>1.2297482259746339E-2</v>
      </c>
      <c r="M59" s="283">
        <f t="shared" si="18"/>
        <v>-1.8320496033005146E-2</v>
      </c>
    </row>
    <row r="60" spans="2:13" ht="15.75" customHeight="1" x14ac:dyDescent="0.2">
      <c r="B60" s="280" t="str">
        <f t="shared" si="11"/>
        <v>Contratos</v>
      </c>
      <c r="C60" s="281">
        <f>+C17/C$43</f>
        <v>0.25287355223374369</v>
      </c>
      <c r="D60" s="282"/>
      <c r="E60" s="281">
        <f t="shared" si="12"/>
        <v>0.40712349184231517</v>
      </c>
      <c r="F60" s="281">
        <f t="shared" si="12"/>
        <v>0.36494800604545835</v>
      </c>
      <c r="G60" s="281">
        <f t="shared" si="13"/>
        <v>0.29242092117320906</v>
      </c>
      <c r="H60" s="281">
        <f t="shared" si="14"/>
        <v>0.31488735170557203</v>
      </c>
      <c r="I60" s="281">
        <f t="shared" si="15"/>
        <v>0.28948278298580177</v>
      </c>
      <c r="J60" s="281">
        <f t="shared" si="16"/>
        <v>0.31465442483382888</v>
      </c>
      <c r="K60" s="281">
        <f t="shared" si="17"/>
        <v>0.32275625894244442</v>
      </c>
      <c r="M60" s="283">
        <f t="shared" si="18"/>
        <v>6.9882706708700726E-2</v>
      </c>
    </row>
    <row r="61" spans="2:13" ht="15.75" customHeight="1" x14ac:dyDescent="0.2">
      <c r="B61" s="232" t="str">
        <f t="shared" si="11"/>
        <v>Seguros</v>
      </c>
      <c r="C61" s="279">
        <f>+C18/C$43</f>
        <v>1.7206069661440573E-2</v>
      </c>
      <c r="D61" s="234"/>
      <c r="E61" s="279">
        <f t="shared" si="12"/>
        <v>0</v>
      </c>
      <c r="F61" s="279">
        <f t="shared" si="12"/>
        <v>1.5789182986352915E-2</v>
      </c>
      <c r="G61" s="279">
        <f t="shared" si="13"/>
        <v>1.2878212878279009E-2</v>
      </c>
      <c r="H61" s="279">
        <f t="shared" si="14"/>
        <v>1.8104102516607698E-2</v>
      </c>
      <c r="I61" s="279">
        <f t="shared" si="15"/>
        <v>1.7461247963322206E-2</v>
      </c>
      <c r="J61" s="279">
        <f t="shared" si="16"/>
        <v>1.5576557659592935E-2</v>
      </c>
      <c r="K61" s="279">
        <f t="shared" si="17"/>
        <v>1.4350724225226803E-2</v>
      </c>
      <c r="M61" s="283">
        <f t="shared" si="18"/>
        <v>-2.8553454362137704E-3</v>
      </c>
    </row>
    <row r="62" spans="2:13" ht="15.75" customHeight="1" x14ac:dyDescent="0.2">
      <c r="B62" s="232" t="str">
        <f t="shared" si="11"/>
        <v>Teléfonos</v>
      </c>
      <c r="C62" s="279">
        <f>+C19/C$43</f>
        <v>7.0475898233219965E-3</v>
      </c>
      <c r="D62" s="234"/>
      <c r="E62" s="279">
        <f t="shared" si="12"/>
        <v>3.2603569702744717E-3</v>
      </c>
      <c r="F62" s="279">
        <f t="shared" si="12"/>
        <v>2.6897886522899705E-3</v>
      </c>
      <c r="G62" s="279">
        <f t="shared" si="13"/>
        <v>4.693206505880643E-3</v>
      </c>
      <c r="H62" s="279">
        <f t="shared" si="14"/>
        <v>5.235364786866082E-3</v>
      </c>
      <c r="I62" s="279">
        <f t="shared" si="15"/>
        <v>3.6656011055173649E-3</v>
      </c>
      <c r="J62" s="279">
        <f t="shared" si="16"/>
        <v>5.344295425401293E-3</v>
      </c>
      <c r="K62" s="279">
        <f t="shared" si="17"/>
        <v>4.2505128413653339E-3</v>
      </c>
      <c r="M62" s="283">
        <f t="shared" si="18"/>
        <v>-2.7970769819566626E-3</v>
      </c>
    </row>
    <row r="63" spans="2:13" ht="15.75" customHeight="1" x14ac:dyDescent="0.2">
      <c r="B63" s="232" t="str">
        <f t="shared" si="11"/>
        <v>Transporte</v>
      </c>
      <c r="C63" s="279">
        <f>+C20/C$43</f>
        <v>4.1261240566941764E-3</v>
      </c>
      <c r="D63" s="234"/>
      <c r="E63" s="279">
        <f t="shared" si="12"/>
        <v>1.5691022401923833E-2</v>
      </c>
      <c r="F63" s="279">
        <f t="shared" si="12"/>
        <v>9.5728125865423268E-3</v>
      </c>
      <c r="G63" s="279">
        <f t="shared" si="13"/>
        <v>8.465510933428648E-2</v>
      </c>
      <c r="H63" s="279">
        <f t="shared" si="14"/>
        <v>7.1105728024149273E-2</v>
      </c>
      <c r="I63" s="279">
        <f t="shared" si="15"/>
        <v>0.11592138828672179</v>
      </c>
      <c r="J63" s="279">
        <f t="shared" si="16"/>
        <v>9.7471547581634371E-2</v>
      </c>
      <c r="K63" s="279">
        <f t="shared" si="17"/>
        <v>7.2740402482424443E-2</v>
      </c>
      <c r="M63" s="283">
        <f t="shared" si="18"/>
        <v>6.8614278425730271E-2</v>
      </c>
    </row>
    <row r="64" spans="2:13" ht="15.75" customHeight="1" x14ac:dyDescent="0.2">
      <c r="B64" s="232" t="str">
        <f t="shared" si="11"/>
        <v>Viáticos</v>
      </c>
      <c r="C64" s="279">
        <f>+C21/C$43</f>
        <v>7.2649310528750521E-3</v>
      </c>
      <c r="D64" s="234"/>
      <c r="E64" s="279">
        <f t="shared" ref="E64:F65" si="19">+E21/E$43</f>
        <v>2.6842496756970609E-3</v>
      </c>
      <c r="F64" s="279">
        <f t="shared" si="19"/>
        <v>2.1793699699233426E-3</v>
      </c>
      <c r="G64" s="279">
        <f t="shared" si="13"/>
        <v>2.5092816805078345E-3</v>
      </c>
      <c r="H64" s="279">
        <f t="shared" si="14"/>
        <v>4.474645584048754E-3</v>
      </c>
      <c r="I64" s="279">
        <f t="shared" si="15"/>
        <v>8.690756205827762E-3</v>
      </c>
      <c r="J64" s="279">
        <f t="shared" si="16"/>
        <v>1.3342215999729356E-2</v>
      </c>
      <c r="K64" s="279">
        <f t="shared" si="17"/>
        <v>6.1458686350675494E-3</v>
      </c>
      <c r="M64" s="283">
        <f t="shared" si="18"/>
        <v>-1.1190624178075027E-3</v>
      </c>
    </row>
    <row r="65" spans="2:13" ht="15.75" customHeight="1" x14ac:dyDescent="0.2">
      <c r="B65" s="232" t="str">
        <f t="shared" si="11"/>
        <v>TOTAL</v>
      </c>
      <c r="C65" s="279">
        <f>+C22/C$43</f>
        <v>0.65219640326183859</v>
      </c>
      <c r="D65" s="234"/>
      <c r="E65" s="279">
        <f t="shared" si="19"/>
        <v>0.58925573757675076</v>
      </c>
      <c r="F65" s="279">
        <f t="shared" si="19"/>
        <v>0.66956425346584525</v>
      </c>
      <c r="G65" s="279">
        <f t="shared" si="13"/>
        <v>0.65101790570371398</v>
      </c>
      <c r="H65" s="279">
        <f t="shared" si="14"/>
        <v>0.69290130678763118</v>
      </c>
      <c r="I65" s="279">
        <f t="shared" si="15"/>
        <v>0.66552723492746713</v>
      </c>
      <c r="J65" s="279">
        <f t="shared" si="16"/>
        <v>0.74160625529940505</v>
      </c>
      <c r="K65" s="279">
        <f t="shared" si="17"/>
        <v>0.67483226001626673</v>
      </c>
      <c r="M65" s="283">
        <f t="shared" si="18"/>
        <v>2.2635856754428141E-2</v>
      </c>
    </row>
    <row r="66" spans="2:13" ht="15.75" customHeight="1" x14ac:dyDescent="0.2">
      <c r="C66" s="254"/>
      <c r="E66" s="254"/>
      <c r="F66" s="254"/>
      <c r="G66" s="254"/>
      <c r="H66" s="254"/>
      <c r="I66" s="254"/>
      <c r="J66" s="254"/>
      <c r="K66" s="254"/>
      <c r="M66" s="221"/>
    </row>
    <row r="67" spans="2:13" ht="15.75" customHeight="1" x14ac:dyDescent="0.2">
      <c r="B67" s="238" t="str">
        <f>+A24</f>
        <v>BIENES DE CONSUMO</v>
      </c>
      <c r="C67" s="254"/>
      <c r="E67" s="254"/>
      <c r="F67" s="254"/>
      <c r="G67" s="254"/>
      <c r="H67" s="254"/>
      <c r="I67" s="254"/>
      <c r="J67" s="254"/>
      <c r="K67" s="254"/>
      <c r="M67" s="221"/>
    </row>
    <row r="68" spans="2:13" ht="15.75" customHeight="1" x14ac:dyDescent="0.2">
      <c r="B68" s="232" t="str">
        <f t="shared" si="11"/>
        <v>Nafta</v>
      </c>
      <c r="C68" s="279">
        <f>+C25/C$43</f>
        <v>8.5755522421998541E-3</v>
      </c>
      <c r="D68" s="234"/>
      <c r="E68" s="279">
        <f t="shared" ref="E68:F83" si="20">+E25/E$43</f>
        <v>1.4986829654942782E-2</v>
      </c>
      <c r="F68" s="279">
        <f t="shared" si="20"/>
        <v>1.2553055154185838E-2</v>
      </c>
      <c r="G68" s="279">
        <f t="shared" si="13"/>
        <v>1.3871642422235497E-2</v>
      </c>
      <c r="H68" s="279">
        <f t="shared" si="14"/>
        <v>1.1655415964009097E-2</v>
      </c>
      <c r="I68" s="279">
        <f t="shared" si="15"/>
        <v>1.1156553703779213E-2</v>
      </c>
      <c r="J68" s="279">
        <f t="shared" si="16"/>
        <v>1.0787632989329013E-2</v>
      </c>
      <c r="K68" s="279">
        <f t="shared" si="17"/>
        <v>1.2256718815871611E-2</v>
      </c>
      <c r="M68" s="283">
        <f t="shared" ref="M68:M85" si="21">+K68-C68</f>
        <v>3.6811665736717573E-3</v>
      </c>
    </row>
    <row r="69" spans="2:13" ht="15.75" customHeight="1" x14ac:dyDescent="0.2">
      <c r="B69" s="232" t="str">
        <f t="shared" si="11"/>
        <v>Gas Oil</v>
      </c>
      <c r="C69" s="279">
        <f>+C26/C$43</f>
        <v>6.0216291736393958E-2</v>
      </c>
      <c r="D69" s="234"/>
      <c r="E69" s="279">
        <f t="shared" si="20"/>
        <v>8.5819748281589489E-2</v>
      </c>
      <c r="F69" s="279">
        <f t="shared" si="20"/>
        <v>5.8114923190002825E-2</v>
      </c>
      <c r="G69" s="279">
        <f t="shared" si="13"/>
        <v>6.6650872751578299E-2</v>
      </c>
      <c r="H69" s="279">
        <f t="shared" si="14"/>
        <v>4.7416909140117307E-2</v>
      </c>
      <c r="I69" s="279">
        <f t="shared" si="15"/>
        <v>5.4401290738443374E-2</v>
      </c>
      <c r="J69" s="279">
        <f t="shared" si="16"/>
        <v>5.4918176957226499E-2</v>
      </c>
      <c r="K69" s="279">
        <f t="shared" si="17"/>
        <v>5.9232344095200076E-2</v>
      </c>
      <c r="M69" s="283">
        <f t="shared" si="21"/>
        <v>-9.8394764119388162E-4</v>
      </c>
    </row>
    <row r="70" spans="2:13" ht="15.75" customHeight="1" x14ac:dyDescent="0.2">
      <c r="B70" s="232" t="str">
        <f t="shared" si="11"/>
        <v>Lubricantes</v>
      </c>
      <c r="C70" s="279">
        <f>+C27/C$43</f>
        <v>4.3636790341790152E-3</v>
      </c>
      <c r="D70" s="234"/>
      <c r="E70" s="279">
        <f t="shared" si="20"/>
        <v>7.812103631666162E-3</v>
      </c>
      <c r="F70" s="279">
        <f t="shared" si="20"/>
        <v>1.3958782580953408E-3</v>
      </c>
      <c r="G70" s="279">
        <f t="shared" si="13"/>
        <v>4.5619395633109223E-3</v>
      </c>
      <c r="H70" s="279">
        <f t="shared" si="14"/>
        <v>8.069612434101819E-3</v>
      </c>
      <c r="I70" s="279">
        <f t="shared" si="15"/>
        <v>6.1952149731915387E-3</v>
      </c>
      <c r="J70" s="279">
        <f t="shared" si="16"/>
        <v>4.3085626444587764E-3</v>
      </c>
      <c r="K70" s="279">
        <f t="shared" si="17"/>
        <v>5.3358250998827069E-3</v>
      </c>
      <c r="M70" s="283">
        <f t="shared" si="21"/>
        <v>9.7214606570369174E-4</v>
      </c>
    </row>
    <row r="71" spans="2:13" ht="15.75" customHeight="1" x14ac:dyDescent="0.2">
      <c r="B71" s="232" t="str">
        <f t="shared" si="11"/>
        <v>Neumaticos</v>
      </c>
      <c r="C71" s="279">
        <f>+C28/C$43</f>
        <v>8.3786274772483845E-3</v>
      </c>
      <c r="D71" s="234"/>
      <c r="E71" s="279">
        <f t="shared" si="20"/>
        <v>8.3754578292510023E-3</v>
      </c>
      <c r="F71" s="279">
        <f t="shared" si="20"/>
        <v>2.3898718101729166E-3</v>
      </c>
      <c r="G71" s="279">
        <f t="shared" si="13"/>
        <v>1.2140869598857152E-2</v>
      </c>
      <c r="H71" s="279">
        <f t="shared" si="14"/>
        <v>9.3099332681210387E-3</v>
      </c>
      <c r="I71" s="279">
        <f t="shared" si="15"/>
        <v>6.9988543774678223E-3</v>
      </c>
      <c r="J71" s="279">
        <f t="shared" si="16"/>
        <v>1.418430379576317E-3</v>
      </c>
      <c r="K71" s="279">
        <f t="shared" si="17"/>
        <v>6.7064525962286479E-3</v>
      </c>
      <c r="M71" s="283">
        <f t="shared" si="21"/>
        <v>-1.6721748810197366E-3</v>
      </c>
    </row>
    <row r="72" spans="2:13" ht="15.75" customHeight="1" x14ac:dyDescent="0.2">
      <c r="B72" s="232" t="str">
        <f t="shared" si="11"/>
        <v>Repuestos</v>
      </c>
      <c r="C72" s="279">
        <f>+C29/C$43</f>
        <v>5.8327319888121246E-2</v>
      </c>
      <c r="D72" s="234"/>
      <c r="E72" s="279">
        <f t="shared" si="20"/>
        <v>1.8119378414052582E-2</v>
      </c>
      <c r="F72" s="279">
        <f t="shared" si="20"/>
        <v>1.7982650785944347E-2</v>
      </c>
      <c r="G72" s="279">
        <f t="shared" si="13"/>
        <v>4.5254526436319081E-2</v>
      </c>
      <c r="H72" s="279">
        <f t="shared" si="14"/>
        <v>4.2847030478839115E-2</v>
      </c>
      <c r="I72" s="279">
        <f t="shared" si="15"/>
        <v>5.7014270848403027E-2</v>
      </c>
      <c r="J72" s="279">
        <f t="shared" si="16"/>
        <v>2.8676296460827914E-2</v>
      </c>
      <c r="K72" s="279">
        <f t="shared" si="17"/>
        <v>3.7232036290781811E-2</v>
      </c>
      <c r="M72" s="283">
        <f t="shared" si="21"/>
        <v>-2.1095283597339434E-2</v>
      </c>
    </row>
    <row r="73" spans="2:13" ht="15.75" customHeight="1" x14ac:dyDescent="0.2">
      <c r="B73" s="232" t="str">
        <f t="shared" si="11"/>
        <v>Impresos</v>
      </c>
      <c r="C73" s="279">
        <f>+C30/C$43</f>
        <v>2.450931416490839E-2</v>
      </c>
      <c r="D73" s="234"/>
      <c r="E73" s="279">
        <f t="shared" si="20"/>
        <v>2.3529741192531012E-2</v>
      </c>
      <c r="F73" s="279">
        <f t="shared" si="20"/>
        <v>2.9304946098010428E-2</v>
      </c>
      <c r="G73" s="279">
        <f t="shared" si="13"/>
        <v>1.7168360434556402E-2</v>
      </c>
      <c r="H73" s="279">
        <f t="shared" si="14"/>
        <v>1.9834988239860376E-2</v>
      </c>
      <c r="I73" s="279">
        <f t="shared" si="15"/>
        <v>1.1702972641908336E-2</v>
      </c>
      <c r="J73" s="279">
        <f t="shared" si="16"/>
        <v>1.389421901599875E-2</v>
      </c>
      <c r="K73" s="279">
        <f t="shared" si="17"/>
        <v>1.8368146382566248E-2</v>
      </c>
      <c r="M73" s="283">
        <f t="shared" si="21"/>
        <v>-6.1411677823421419E-3</v>
      </c>
    </row>
    <row r="74" spans="2:13" ht="15.75" customHeight="1" x14ac:dyDescent="0.2">
      <c r="B74" s="232" t="str">
        <f t="shared" si="11"/>
        <v>Limpieza</v>
      </c>
      <c r="C74" s="279">
        <f>+C31/C$43</f>
        <v>1.32471578978096E-2</v>
      </c>
      <c r="D74" s="234"/>
      <c r="E74" s="279">
        <f t="shared" si="20"/>
        <v>1.746398012513006E-2</v>
      </c>
      <c r="F74" s="279">
        <f t="shared" si="20"/>
        <v>9.9872501545933239E-3</v>
      </c>
      <c r="G74" s="279">
        <f t="shared" si="13"/>
        <v>7.1925687700733851E-3</v>
      </c>
      <c r="H74" s="279">
        <f t="shared" si="14"/>
        <v>1.3015841744224899E-2</v>
      </c>
      <c r="I74" s="279">
        <f t="shared" si="15"/>
        <v>9.6436728513153991E-3</v>
      </c>
      <c r="J74" s="279">
        <f t="shared" si="16"/>
        <v>1.0951274482504826E-2</v>
      </c>
      <c r="K74" s="279">
        <f t="shared" si="17"/>
        <v>1.0922899670049946E-2</v>
      </c>
      <c r="M74" s="283">
        <f t="shared" si="21"/>
        <v>-2.3242582277596541E-3</v>
      </c>
    </row>
    <row r="75" spans="2:13" ht="15.75" customHeight="1" x14ac:dyDescent="0.2">
      <c r="B75" s="280" t="str">
        <f t="shared" si="11"/>
        <v>Materiales No invent.</v>
      </c>
      <c r="C75" s="281">
        <f>+C32/C$43</f>
        <v>0.11782408328481166</v>
      </c>
      <c r="D75" s="282"/>
      <c r="E75" s="281">
        <f t="shared" si="20"/>
        <v>0.1171006000332135</v>
      </c>
      <c r="F75" s="281">
        <f t="shared" si="20"/>
        <v>0.12620608864020061</v>
      </c>
      <c r="G75" s="281">
        <f t="shared" si="13"/>
        <v>0.11067952465495724</v>
      </c>
      <c r="H75" s="281">
        <f t="shared" si="14"/>
        <v>0.10224203535667079</v>
      </c>
      <c r="I75" s="281">
        <f t="shared" si="15"/>
        <v>0.11646557295370087</v>
      </c>
      <c r="J75" s="281">
        <f t="shared" si="16"/>
        <v>7.6252955764903055E-2</v>
      </c>
      <c r="K75" s="281">
        <f t="shared" si="17"/>
        <v>0.10688423259886673</v>
      </c>
      <c r="M75" s="283">
        <f t="shared" si="21"/>
        <v>-1.0939850685944927E-2</v>
      </c>
    </row>
    <row r="76" spans="2:13" ht="15.75" customHeight="1" x14ac:dyDescent="0.2">
      <c r="B76" s="232" t="str">
        <f t="shared" si="11"/>
        <v>Ropa de trabajo</v>
      </c>
      <c r="C76" s="279">
        <f>+C33/C$43</f>
        <v>9.3468602112759466E-3</v>
      </c>
      <c r="D76" s="234"/>
      <c r="E76" s="279">
        <f t="shared" si="20"/>
        <v>7.6058361498732869E-3</v>
      </c>
      <c r="F76" s="279">
        <f t="shared" si="20"/>
        <v>4.5060912280213868E-3</v>
      </c>
      <c r="G76" s="279">
        <f t="shared" si="13"/>
        <v>8.5574804550300788E-3</v>
      </c>
      <c r="H76" s="279">
        <f t="shared" si="14"/>
        <v>1.5463102746017966E-2</v>
      </c>
      <c r="I76" s="279">
        <f t="shared" si="15"/>
        <v>1.7379976350239877E-2</v>
      </c>
      <c r="J76" s="279">
        <f t="shared" si="16"/>
        <v>2.3863338381369791E-2</v>
      </c>
      <c r="K76" s="279">
        <f t="shared" si="17"/>
        <v>1.3781594952885168E-2</v>
      </c>
      <c r="M76" s="283">
        <f t="shared" si="21"/>
        <v>4.4347347416092212E-3</v>
      </c>
    </row>
    <row r="77" spans="2:13" ht="15.75" customHeight="1" x14ac:dyDescent="0.2">
      <c r="B77" s="232" t="str">
        <f t="shared" si="11"/>
        <v>Cursos y capacitaciones</v>
      </c>
      <c r="C77" s="279">
        <f>+C34/C$43</f>
        <v>0</v>
      </c>
      <c r="D77" s="234"/>
      <c r="E77" s="279">
        <f t="shared" si="20"/>
        <v>2.0793092922668822E-3</v>
      </c>
      <c r="F77" s="279">
        <f t="shared" si="20"/>
        <v>0</v>
      </c>
      <c r="G77" s="279">
        <f t="shared" si="13"/>
        <v>0</v>
      </c>
      <c r="H77" s="279">
        <f t="shared" si="14"/>
        <v>0</v>
      </c>
      <c r="I77" s="279">
        <f t="shared" si="15"/>
        <v>0</v>
      </c>
      <c r="J77" s="279">
        <f t="shared" si="16"/>
        <v>0</v>
      </c>
      <c r="K77" s="279">
        <f t="shared" si="17"/>
        <v>2.1651970896633232E-4</v>
      </c>
      <c r="M77" s="283">
        <f t="shared" si="21"/>
        <v>2.1651970896633232E-4</v>
      </c>
    </row>
    <row r="78" spans="2:13" ht="15.75" customHeight="1" x14ac:dyDescent="0.2">
      <c r="B78" s="232" t="str">
        <f t="shared" si="11"/>
        <v>Repuestos de computación</v>
      </c>
      <c r="C78" s="279">
        <f>+C35/C$43</f>
        <v>4.3529929697279724E-3</v>
      </c>
      <c r="D78" s="234"/>
      <c r="E78" s="279">
        <f t="shared" si="20"/>
        <v>1.6969381754809512E-2</v>
      </c>
      <c r="F78" s="279">
        <f t="shared" si="20"/>
        <v>5.4875319180657314E-3</v>
      </c>
      <c r="G78" s="279">
        <f t="shared" si="13"/>
        <v>1.6094914265658171E-2</v>
      </c>
      <c r="H78" s="279">
        <f t="shared" si="14"/>
        <v>8.4052190344413198E-3</v>
      </c>
      <c r="I78" s="279">
        <f t="shared" si="15"/>
        <v>5.7262973155790698E-3</v>
      </c>
      <c r="J78" s="279">
        <f t="shared" si="16"/>
        <v>3.1701138280429472E-3</v>
      </c>
      <c r="K78" s="279">
        <f t="shared" si="17"/>
        <v>8.6625205163250226E-3</v>
      </c>
      <c r="M78" s="283">
        <f t="shared" si="21"/>
        <v>4.3095275465970502E-3</v>
      </c>
    </row>
    <row r="79" spans="2:13" ht="15.75" customHeight="1" x14ac:dyDescent="0.2">
      <c r="B79" s="232" t="str">
        <f t="shared" si="11"/>
        <v>Racionamiento</v>
      </c>
      <c r="C79" s="279">
        <f>+C36/C$43</f>
        <v>1.7810860366035644E-2</v>
      </c>
      <c r="D79" s="234"/>
      <c r="E79" s="279">
        <f t="shared" si="20"/>
        <v>1.8210868022912326E-2</v>
      </c>
      <c r="F79" s="279">
        <f t="shared" si="20"/>
        <v>1.170525416455682E-2</v>
      </c>
      <c r="G79" s="279">
        <f t="shared" si="13"/>
        <v>1.8656934176241244E-2</v>
      </c>
      <c r="H79" s="279">
        <f t="shared" si="14"/>
        <v>2.051683743713717E-2</v>
      </c>
      <c r="I79" s="279">
        <f t="shared" si="15"/>
        <v>2.4457868069639996E-2</v>
      </c>
      <c r="J79" s="279">
        <f t="shared" si="16"/>
        <v>1.9241116785070754E-2</v>
      </c>
      <c r="K79" s="279">
        <f t="shared" si="17"/>
        <v>1.9208877977835253E-2</v>
      </c>
      <c r="M79" s="283">
        <f t="shared" si="21"/>
        <v>1.3980176117996089E-3</v>
      </c>
    </row>
    <row r="80" spans="2:13" ht="15.75" customHeight="1" x14ac:dyDescent="0.2">
      <c r="B80" s="232" t="str">
        <f t="shared" si="11"/>
        <v>Distinciones y ofrendas</v>
      </c>
      <c r="C80" s="279">
        <f>+C37/C$43</f>
        <v>2.9813830223167307E-3</v>
      </c>
      <c r="D80" s="234"/>
      <c r="E80" s="279">
        <f t="shared" si="20"/>
        <v>7.9013753106141533E-5</v>
      </c>
      <c r="F80" s="279">
        <f t="shared" si="20"/>
        <v>0</v>
      </c>
      <c r="G80" s="279">
        <f t="shared" si="13"/>
        <v>4.8410058089755174E-3</v>
      </c>
      <c r="H80" s="279">
        <f t="shared" si="14"/>
        <v>1.0635996597790135E-3</v>
      </c>
      <c r="I80" s="279">
        <f t="shared" si="15"/>
        <v>1.624734051912173E-3</v>
      </c>
      <c r="J80" s="279">
        <f t="shared" si="16"/>
        <v>0</v>
      </c>
      <c r="K80" s="279">
        <f t="shared" si="17"/>
        <v>1.3771230876149312E-3</v>
      </c>
      <c r="M80" s="283">
        <f t="shared" si="21"/>
        <v>-1.6042599347017995E-3</v>
      </c>
    </row>
    <row r="81" spans="2:13" ht="15.75" customHeight="1" x14ac:dyDescent="0.2">
      <c r="B81" s="232" t="str">
        <f t="shared" si="11"/>
        <v>Varios obras sanitarias</v>
      </c>
      <c r="C81" s="279">
        <f>+C38/C$43</f>
        <v>1.1083504961953846E-2</v>
      </c>
      <c r="D81" s="234"/>
      <c r="E81" s="279">
        <f t="shared" si="20"/>
        <v>1.2492767469178398E-2</v>
      </c>
      <c r="F81" s="279">
        <f t="shared" si="20"/>
        <v>2.5067486117500197E-2</v>
      </c>
      <c r="G81" s="279">
        <f t="shared" si="13"/>
        <v>8.0143924117787781E-3</v>
      </c>
      <c r="H81" s="279">
        <f t="shared" si="14"/>
        <v>2.4230436556934819E-3</v>
      </c>
      <c r="I81" s="279">
        <f t="shared" si="15"/>
        <v>7.6800277943331061E-3</v>
      </c>
      <c r="J81" s="279">
        <f t="shared" si="16"/>
        <v>7.5428165900327483E-3</v>
      </c>
      <c r="K81" s="279">
        <f t="shared" si="17"/>
        <v>9.8854238325668687E-3</v>
      </c>
      <c r="M81" s="283">
        <f t="shared" si="21"/>
        <v>-1.198081129386977E-3</v>
      </c>
    </row>
    <row r="82" spans="2:13" ht="15.75" customHeight="1" x14ac:dyDescent="0.2">
      <c r="B82" s="280" t="str">
        <f t="shared" si="11"/>
        <v>Ins. Alumbrado publico</v>
      </c>
      <c r="C82" s="281">
        <f>+C39/C$43</f>
        <v>3.4766198466454185E-3</v>
      </c>
      <c r="D82" s="282"/>
      <c r="E82" s="281">
        <f t="shared" si="20"/>
        <v>5.7149400036096809E-2</v>
      </c>
      <c r="F82" s="281">
        <f t="shared" si="20"/>
        <v>2.3896207529322519E-2</v>
      </c>
      <c r="G82" s="281">
        <f t="shared" si="13"/>
        <v>1.8863423359200416E-3</v>
      </c>
      <c r="H82" s="281">
        <f t="shared" si="14"/>
        <v>9.0487786439660684E-5</v>
      </c>
      <c r="I82" s="281">
        <f t="shared" si="15"/>
        <v>0</v>
      </c>
      <c r="J82" s="281">
        <f t="shared" si="16"/>
        <v>0</v>
      </c>
      <c r="K82" s="281">
        <f t="shared" si="17"/>
        <v>9.8685641645620235E-3</v>
      </c>
      <c r="M82" s="283">
        <f t="shared" si="21"/>
        <v>6.3919443179166046E-3</v>
      </c>
    </row>
    <row r="83" spans="2:13" ht="15.75" customHeight="1" x14ac:dyDescent="0.2">
      <c r="B83" s="232" t="str">
        <f t="shared" si="11"/>
        <v>Farmacia</v>
      </c>
      <c r="C83" s="279">
        <f>+C40/C$43</f>
        <v>2.6569205125349274E-3</v>
      </c>
      <c r="D83" s="234"/>
      <c r="E83" s="279">
        <f t="shared" si="20"/>
        <v>2.894953017313438E-3</v>
      </c>
      <c r="F83" s="279">
        <f t="shared" si="20"/>
        <v>1.6594883607932019E-3</v>
      </c>
      <c r="G83" s="279">
        <f t="shared" si="13"/>
        <v>1.2794393810416478E-2</v>
      </c>
      <c r="H83" s="279">
        <f t="shared" si="14"/>
        <v>4.1555656861150501E-3</v>
      </c>
      <c r="I83" s="279">
        <f t="shared" si="15"/>
        <v>2.8331954601844502E-3</v>
      </c>
      <c r="J83" s="279">
        <f t="shared" si="16"/>
        <v>2.4670217998329297E-3</v>
      </c>
      <c r="K83" s="279">
        <f t="shared" si="17"/>
        <v>4.5678729961209199E-3</v>
      </c>
      <c r="M83" s="283">
        <f t="shared" si="21"/>
        <v>1.9109524835859925E-3</v>
      </c>
    </row>
    <row r="84" spans="2:13" ht="15.75" customHeight="1" x14ac:dyDescent="0.2">
      <c r="B84" s="232" t="str">
        <f t="shared" si="11"/>
        <v>GNC</v>
      </c>
      <c r="C84" s="279">
        <f>+C41/C$43</f>
        <v>6.5242912199877246E-4</v>
      </c>
      <c r="D84" s="234"/>
      <c r="E84" s="279">
        <f t="shared" ref="E84:F85" si="22">+E41/E$43</f>
        <v>5.4893765315845695E-5</v>
      </c>
      <c r="F84" s="279">
        <f t="shared" si="22"/>
        <v>1.7902312468931668E-4</v>
      </c>
      <c r="G84" s="279">
        <f t="shared" si="13"/>
        <v>6.1632640037773134E-4</v>
      </c>
      <c r="H84" s="279">
        <f t="shared" si="14"/>
        <v>5.8907058080068437E-4</v>
      </c>
      <c r="I84" s="279">
        <f t="shared" si="15"/>
        <v>1.1922629424345624E-3</v>
      </c>
      <c r="J84" s="279">
        <f t="shared" si="16"/>
        <v>9.0178862142068677E-4</v>
      </c>
      <c r="K84" s="279">
        <f t="shared" si="17"/>
        <v>6.6058719740901548E-4</v>
      </c>
      <c r="M84" s="283">
        <f t="shared" si="21"/>
        <v>8.1580754102430174E-6</v>
      </c>
    </row>
    <row r="85" spans="2:13" ht="15.75" customHeight="1" x14ac:dyDescent="0.2">
      <c r="B85" s="232" t="str">
        <f t="shared" si="11"/>
        <v>TOTAL</v>
      </c>
      <c r="C85" s="279">
        <f>+C42/C$43</f>
        <v>0.34780359673816136</v>
      </c>
      <c r="D85" s="234"/>
      <c r="E85" s="279">
        <f t="shared" si="22"/>
        <v>0.41074426242324924</v>
      </c>
      <c r="F85" s="279">
        <f t="shared" si="22"/>
        <v>0.33043574653415481</v>
      </c>
      <c r="G85" s="279">
        <f t="shared" si="13"/>
        <v>0.34898209429628602</v>
      </c>
      <c r="H85" s="279">
        <f t="shared" si="14"/>
        <v>0.30709869321236877</v>
      </c>
      <c r="I85" s="279">
        <f t="shared" si="15"/>
        <v>0.33447276507253282</v>
      </c>
      <c r="J85" s="279">
        <f t="shared" si="16"/>
        <v>0.25839374470059501</v>
      </c>
      <c r="K85" s="279">
        <f t="shared" si="17"/>
        <v>0.32516773998373333</v>
      </c>
      <c r="M85" s="283">
        <f t="shared" si="21"/>
        <v>-2.263585675442803E-2</v>
      </c>
    </row>
    <row r="86" spans="2:13" ht="15.75" customHeight="1" x14ac:dyDescent="0.2">
      <c r="E86" s="254"/>
      <c r="F86" s="254"/>
      <c r="G86" s="254"/>
      <c r="H86" s="254"/>
      <c r="I86" s="254"/>
      <c r="J86" s="254"/>
      <c r="K86" s="254"/>
      <c r="L86" s="263"/>
    </row>
    <row r="87" spans="2:13" ht="15.75" customHeight="1" x14ac:dyDescent="0.2">
      <c r="E87" s="254"/>
    </row>
  </sheetData>
  <sheetProtection algorithmName="SHA-512" hashValue="Br8XLn32ot7KoHqaOQLH/OiYs6M+Os9/dlDOu1LCI1AwN8JreQD2pnXXTUC1W84/byWw9juTeVZ4nqP2Mf7XWA==" saltValue="tpBepzQ6oqcjkGlBcXOGlQ==" spinCount="100000" sheet="1" objects="1" scenarios="1"/>
  <mergeCells count="4">
    <mergeCell ref="A24:B24"/>
    <mergeCell ref="E3:J3"/>
    <mergeCell ref="A1:D1"/>
    <mergeCell ref="A3:B3"/>
  </mergeCells>
  <conditionalFormatting sqref="Q5:Q21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25:Q4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8:M65">
    <cfRule type="iconSet" priority="2">
      <iconSet iconSet="4Arrows" reverse="1">
        <cfvo type="percent" val="0"/>
        <cfvo type="percent" val="25"/>
        <cfvo type="percent" val="50"/>
        <cfvo type="percent" val="75"/>
      </iconSet>
    </cfRule>
  </conditionalFormatting>
  <conditionalFormatting sqref="M68:M85">
    <cfRule type="iconSet" priority="1">
      <iconSet iconSet="4Arrows" reverse="1">
        <cfvo type="percent" val="0"/>
        <cfvo type="percent" val="25"/>
        <cfvo type="percent" val="50"/>
        <cfvo type="percent" val="75"/>
      </iconSet>
    </cfRule>
  </conditionalFormatting>
  <hyperlinks>
    <hyperlink ref="H1" location="INDICE!A1" display="Volver al inicio"/>
  </hyperlinks>
  <pageMargins left="0.7" right="0.7" top="0.75" bottom="0.75" header="0.3" footer="0.3"/>
  <pageSetup scale="74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4E07356-A4C7-4C72-833C-751B4BEA8DD9}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RedToBlack" iconId="3"/>
              <x14:cfIcon iconSet="4Arrows" iconId="2"/>
              <x14:cfIcon iconSet="4Arrows" iconId="1"/>
              <x14:cfIcon iconSet="3Symbols2" iconId="2"/>
            </x14:iconSet>
          </x14:cfRule>
          <xm:sqref>N5:N43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Q51"/>
  <sheetViews>
    <sheetView workbookViewId="0">
      <selection activeCell="O1" sqref="O1:Q2"/>
    </sheetView>
  </sheetViews>
  <sheetFormatPr defaultColWidth="11.42578125" defaultRowHeight="15" x14ac:dyDescent="0.25"/>
  <cols>
    <col min="1" max="1" width="13.140625" style="118" bestFit="1" customWidth="1"/>
    <col min="2" max="2" width="14.85546875" style="118" bestFit="1" customWidth="1"/>
    <col min="3" max="3" width="8.28515625" style="118" customWidth="1"/>
    <col min="4" max="4" width="14.5703125" style="118" bestFit="1" customWidth="1"/>
    <col min="5" max="5" width="7.7109375" style="118" customWidth="1"/>
    <col min="6" max="6" width="18.140625" style="118" customWidth="1"/>
    <col min="7" max="7" width="7.5703125" style="118" bestFit="1" customWidth="1"/>
    <col min="8" max="8" width="17.42578125" style="118" customWidth="1"/>
    <col min="9" max="9" width="7.5703125" style="118" bestFit="1" customWidth="1"/>
    <col min="10" max="10" width="14.85546875" style="118" bestFit="1" customWidth="1"/>
    <col min="11" max="11" width="7.5703125" style="118" bestFit="1" customWidth="1"/>
    <col min="12" max="12" width="15.28515625" style="118" bestFit="1" customWidth="1"/>
    <col min="13" max="13" width="7.5703125" style="119" bestFit="1" customWidth="1"/>
    <col min="14" max="14" width="15.28515625" style="118" bestFit="1" customWidth="1"/>
    <col min="15" max="15" width="7.5703125" style="119" customWidth="1"/>
    <col min="16" max="16" width="15.85546875" style="118" bestFit="1" customWidth="1"/>
    <col min="17" max="17" width="7.5703125" style="118" bestFit="1" customWidth="1"/>
    <col min="18" max="254" width="11.42578125" style="119"/>
    <col min="255" max="255" width="13.140625" style="119" bestFit="1" customWidth="1"/>
    <col min="256" max="256" width="14.85546875" style="119" bestFit="1" customWidth="1"/>
    <col min="257" max="257" width="12.85546875" style="119" bestFit="1" customWidth="1"/>
    <col min="258" max="258" width="14.5703125" style="119" bestFit="1" customWidth="1"/>
    <col min="259" max="259" width="11.28515625" style="119" bestFit="1" customWidth="1"/>
    <col min="260" max="260" width="13.7109375" style="119" customWidth="1"/>
    <col min="261" max="261" width="7.5703125" style="119" bestFit="1" customWidth="1"/>
    <col min="262" max="262" width="14.85546875" style="119" bestFit="1" customWidth="1"/>
    <col min="263" max="263" width="7.5703125" style="119" bestFit="1" customWidth="1"/>
    <col min="264" max="264" width="14.85546875" style="119" bestFit="1" customWidth="1"/>
    <col min="265" max="265" width="7.5703125" style="119" bestFit="1" customWidth="1"/>
    <col min="266" max="266" width="15.28515625" style="119" bestFit="1" customWidth="1"/>
    <col min="267" max="267" width="7.5703125" style="119" bestFit="1" customWidth="1"/>
    <col min="268" max="268" width="15.28515625" style="119" bestFit="1" customWidth="1"/>
    <col min="269" max="269" width="7.5703125" style="119" customWidth="1"/>
    <col min="270" max="270" width="15.85546875" style="119" bestFit="1" customWidth="1"/>
    <col min="271" max="271" width="7.5703125" style="119" bestFit="1" customWidth="1"/>
    <col min="272" max="272" width="14.42578125" style="119" bestFit="1" customWidth="1"/>
    <col min="273" max="273" width="17.140625" style="119" customWidth="1"/>
    <col min="274" max="510" width="11.42578125" style="119"/>
    <col min="511" max="511" width="13.140625" style="119" bestFit="1" customWidth="1"/>
    <col min="512" max="512" width="14.85546875" style="119" bestFit="1" customWidth="1"/>
    <col min="513" max="513" width="12.85546875" style="119" bestFit="1" customWidth="1"/>
    <col min="514" max="514" width="14.5703125" style="119" bestFit="1" customWidth="1"/>
    <col min="515" max="515" width="11.28515625" style="119" bestFit="1" customWidth="1"/>
    <col min="516" max="516" width="13.7109375" style="119" customWidth="1"/>
    <col min="517" max="517" width="7.5703125" style="119" bestFit="1" customWidth="1"/>
    <col min="518" max="518" width="14.85546875" style="119" bestFit="1" customWidth="1"/>
    <col min="519" max="519" width="7.5703125" style="119" bestFit="1" customWidth="1"/>
    <col min="520" max="520" width="14.85546875" style="119" bestFit="1" customWidth="1"/>
    <col min="521" max="521" width="7.5703125" style="119" bestFit="1" customWidth="1"/>
    <col min="522" max="522" width="15.28515625" style="119" bestFit="1" customWidth="1"/>
    <col min="523" max="523" width="7.5703125" style="119" bestFit="1" customWidth="1"/>
    <col min="524" max="524" width="15.28515625" style="119" bestFit="1" customWidth="1"/>
    <col min="525" max="525" width="7.5703125" style="119" customWidth="1"/>
    <col min="526" max="526" width="15.85546875" style="119" bestFit="1" customWidth="1"/>
    <col min="527" max="527" width="7.5703125" style="119" bestFit="1" customWidth="1"/>
    <col min="528" max="528" width="14.42578125" style="119" bestFit="1" customWidth="1"/>
    <col min="529" max="529" width="17.140625" style="119" customWidth="1"/>
    <col min="530" max="766" width="11.42578125" style="119"/>
    <col min="767" max="767" width="13.140625" style="119" bestFit="1" customWidth="1"/>
    <col min="768" max="768" width="14.85546875" style="119" bestFit="1" customWidth="1"/>
    <col min="769" max="769" width="12.85546875" style="119" bestFit="1" customWidth="1"/>
    <col min="770" max="770" width="14.5703125" style="119" bestFit="1" customWidth="1"/>
    <col min="771" max="771" width="11.28515625" style="119" bestFit="1" customWidth="1"/>
    <col min="772" max="772" width="13.7109375" style="119" customWidth="1"/>
    <col min="773" max="773" width="7.5703125" style="119" bestFit="1" customWidth="1"/>
    <col min="774" max="774" width="14.85546875" style="119" bestFit="1" customWidth="1"/>
    <col min="775" max="775" width="7.5703125" style="119" bestFit="1" customWidth="1"/>
    <col min="776" max="776" width="14.85546875" style="119" bestFit="1" customWidth="1"/>
    <col min="777" max="777" width="7.5703125" style="119" bestFit="1" customWidth="1"/>
    <col min="778" max="778" width="15.28515625" style="119" bestFit="1" customWidth="1"/>
    <col min="779" max="779" width="7.5703125" style="119" bestFit="1" customWidth="1"/>
    <col min="780" max="780" width="15.28515625" style="119" bestFit="1" customWidth="1"/>
    <col min="781" max="781" width="7.5703125" style="119" customWidth="1"/>
    <col min="782" max="782" width="15.85546875" style="119" bestFit="1" customWidth="1"/>
    <col min="783" max="783" width="7.5703125" style="119" bestFit="1" customWidth="1"/>
    <col min="784" max="784" width="14.42578125" style="119" bestFit="1" customWidth="1"/>
    <col min="785" max="785" width="17.140625" style="119" customWidth="1"/>
    <col min="786" max="1022" width="11.42578125" style="119"/>
    <col min="1023" max="1023" width="13.140625" style="119" bestFit="1" customWidth="1"/>
    <col min="1024" max="1024" width="14.85546875" style="119" bestFit="1" customWidth="1"/>
    <col min="1025" max="1025" width="12.85546875" style="119" bestFit="1" customWidth="1"/>
    <col min="1026" max="1026" width="14.5703125" style="119" bestFit="1" customWidth="1"/>
    <col min="1027" max="1027" width="11.28515625" style="119" bestFit="1" customWidth="1"/>
    <col min="1028" max="1028" width="13.7109375" style="119" customWidth="1"/>
    <col min="1029" max="1029" width="7.5703125" style="119" bestFit="1" customWidth="1"/>
    <col min="1030" max="1030" width="14.85546875" style="119" bestFit="1" customWidth="1"/>
    <col min="1031" max="1031" width="7.5703125" style="119" bestFit="1" customWidth="1"/>
    <col min="1032" max="1032" width="14.85546875" style="119" bestFit="1" customWidth="1"/>
    <col min="1033" max="1033" width="7.5703125" style="119" bestFit="1" customWidth="1"/>
    <col min="1034" max="1034" width="15.28515625" style="119" bestFit="1" customWidth="1"/>
    <col min="1035" max="1035" width="7.5703125" style="119" bestFit="1" customWidth="1"/>
    <col min="1036" max="1036" width="15.28515625" style="119" bestFit="1" customWidth="1"/>
    <col min="1037" max="1037" width="7.5703125" style="119" customWidth="1"/>
    <col min="1038" max="1038" width="15.85546875" style="119" bestFit="1" customWidth="1"/>
    <col min="1039" max="1039" width="7.5703125" style="119" bestFit="1" customWidth="1"/>
    <col min="1040" max="1040" width="14.42578125" style="119" bestFit="1" customWidth="1"/>
    <col min="1041" max="1041" width="17.140625" style="119" customWidth="1"/>
    <col min="1042" max="1278" width="11.42578125" style="119"/>
    <col min="1279" max="1279" width="13.140625" style="119" bestFit="1" customWidth="1"/>
    <col min="1280" max="1280" width="14.85546875" style="119" bestFit="1" customWidth="1"/>
    <col min="1281" max="1281" width="12.85546875" style="119" bestFit="1" customWidth="1"/>
    <col min="1282" max="1282" width="14.5703125" style="119" bestFit="1" customWidth="1"/>
    <col min="1283" max="1283" width="11.28515625" style="119" bestFit="1" customWidth="1"/>
    <col min="1284" max="1284" width="13.7109375" style="119" customWidth="1"/>
    <col min="1285" max="1285" width="7.5703125" style="119" bestFit="1" customWidth="1"/>
    <col min="1286" max="1286" width="14.85546875" style="119" bestFit="1" customWidth="1"/>
    <col min="1287" max="1287" width="7.5703125" style="119" bestFit="1" customWidth="1"/>
    <col min="1288" max="1288" width="14.85546875" style="119" bestFit="1" customWidth="1"/>
    <col min="1289" max="1289" width="7.5703125" style="119" bestFit="1" customWidth="1"/>
    <col min="1290" max="1290" width="15.28515625" style="119" bestFit="1" customWidth="1"/>
    <col min="1291" max="1291" width="7.5703125" style="119" bestFit="1" customWidth="1"/>
    <col min="1292" max="1292" width="15.28515625" style="119" bestFit="1" customWidth="1"/>
    <col min="1293" max="1293" width="7.5703125" style="119" customWidth="1"/>
    <col min="1294" max="1294" width="15.85546875" style="119" bestFit="1" customWidth="1"/>
    <col min="1295" max="1295" width="7.5703125" style="119" bestFit="1" customWidth="1"/>
    <col min="1296" max="1296" width="14.42578125" style="119" bestFit="1" customWidth="1"/>
    <col min="1297" max="1297" width="17.140625" style="119" customWidth="1"/>
    <col min="1298" max="1534" width="11.42578125" style="119"/>
    <col min="1535" max="1535" width="13.140625" style="119" bestFit="1" customWidth="1"/>
    <col min="1536" max="1536" width="14.85546875" style="119" bestFit="1" customWidth="1"/>
    <col min="1537" max="1537" width="12.85546875" style="119" bestFit="1" customWidth="1"/>
    <col min="1538" max="1538" width="14.5703125" style="119" bestFit="1" customWidth="1"/>
    <col min="1539" max="1539" width="11.28515625" style="119" bestFit="1" customWidth="1"/>
    <col min="1540" max="1540" width="13.7109375" style="119" customWidth="1"/>
    <col min="1541" max="1541" width="7.5703125" style="119" bestFit="1" customWidth="1"/>
    <col min="1542" max="1542" width="14.85546875" style="119" bestFit="1" customWidth="1"/>
    <col min="1543" max="1543" width="7.5703125" style="119" bestFit="1" customWidth="1"/>
    <col min="1544" max="1544" width="14.85546875" style="119" bestFit="1" customWidth="1"/>
    <col min="1545" max="1545" width="7.5703125" style="119" bestFit="1" customWidth="1"/>
    <col min="1546" max="1546" width="15.28515625" style="119" bestFit="1" customWidth="1"/>
    <col min="1547" max="1547" width="7.5703125" style="119" bestFit="1" customWidth="1"/>
    <col min="1548" max="1548" width="15.28515625" style="119" bestFit="1" customWidth="1"/>
    <col min="1549" max="1549" width="7.5703125" style="119" customWidth="1"/>
    <col min="1550" max="1550" width="15.85546875" style="119" bestFit="1" customWidth="1"/>
    <col min="1551" max="1551" width="7.5703125" style="119" bestFit="1" customWidth="1"/>
    <col min="1552" max="1552" width="14.42578125" style="119" bestFit="1" customWidth="1"/>
    <col min="1553" max="1553" width="17.140625" style="119" customWidth="1"/>
    <col min="1554" max="1790" width="11.42578125" style="119"/>
    <col min="1791" max="1791" width="13.140625" style="119" bestFit="1" customWidth="1"/>
    <col min="1792" max="1792" width="14.85546875" style="119" bestFit="1" customWidth="1"/>
    <col min="1793" max="1793" width="12.85546875" style="119" bestFit="1" customWidth="1"/>
    <col min="1794" max="1794" width="14.5703125" style="119" bestFit="1" customWidth="1"/>
    <col min="1795" max="1795" width="11.28515625" style="119" bestFit="1" customWidth="1"/>
    <col min="1796" max="1796" width="13.7109375" style="119" customWidth="1"/>
    <col min="1797" max="1797" width="7.5703125" style="119" bestFit="1" customWidth="1"/>
    <col min="1798" max="1798" width="14.85546875" style="119" bestFit="1" customWidth="1"/>
    <col min="1799" max="1799" width="7.5703125" style="119" bestFit="1" customWidth="1"/>
    <col min="1800" max="1800" width="14.85546875" style="119" bestFit="1" customWidth="1"/>
    <col min="1801" max="1801" width="7.5703125" style="119" bestFit="1" customWidth="1"/>
    <col min="1802" max="1802" width="15.28515625" style="119" bestFit="1" customWidth="1"/>
    <col min="1803" max="1803" width="7.5703125" style="119" bestFit="1" customWidth="1"/>
    <col min="1804" max="1804" width="15.28515625" style="119" bestFit="1" customWidth="1"/>
    <col min="1805" max="1805" width="7.5703125" style="119" customWidth="1"/>
    <col min="1806" max="1806" width="15.85546875" style="119" bestFit="1" customWidth="1"/>
    <col min="1807" max="1807" width="7.5703125" style="119" bestFit="1" customWidth="1"/>
    <col min="1808" max="1808" width="14.42578125" style="119" bestFit="1" customWidth="1"/>
    <col min="1809" max="1809" width="17.140625" style="119" customWidth="1"/>
    <col min="1810" max="2046" width="11.42578125" style="119"/>
    <col min="2047" max="2047" width="13.140625" style="119" bestFit="1" customWidth="1"/>
    <col min="2048" max="2048" width="14.85546875" style="119" bestFit="1" customWidth="1"/>
    <col min="2049" max="2049" width="12.85546875" style="119" bestFit="1" customWidth="1"/>
    <col min="2050" max="2050" width="14.5703125" style="119" bestFit="1" customWidth="1"/>
    <col min="2051" max="2051" width="11.28515625" style="119" bestFit="1" customWidth="1"/>
    <col min="2052" max="2052" width="13.7109375" style="119" customWidth="1"/>
    <col min="2053" max="2053" width="7.5703125" style="119" bestFit="1" customWidth="1"/>
    <col min="2054" max="2054" width="14.85546875" style="119" bestFit="1" customWidth="1"/>
    <col min="2055" max="2055" width="7.5703125" style="119" bestFit="1" customWidth="1"/>
    <col min="2056" max="2056" width="14.85546875" style="119" bestFit="1" customWidth="1"/>
    <col min="2057" max="2057" width="7.5703125" style="119" bestFit="1" customWidth="1"/>
    <col min="2058" max="2058" width="15.28515625" style="119" bestFit="1" customWidth="1"/>
    <col min="2059" max="2059" width="7.5703125" style="119" bestFit="1" customWidth="1"/>
    <col min="2060" max="2060" width="15.28515625" style="119" bestFit="1" customWidth="1"/>
    <col min="2061" max="2061" width="7.5703125" style="119" customWidth="1"/>
    <col min="2062" max="2062" width="15.85546875" style="119" bestFit="1" customWidth="1"/>
    <col min="2063" max="2063" width="7.5703125" style="119" bestFit="1" customWidth="1"/>
    <col min="2064" max="2064" width="14.42578125" style="119" bestFit="1" customWidth="1"/>
    <col min="2065" max="2065" width="17.140625" style="119" customWidth="1"/>
    <col min="2066" max="2302" width="11.42578125" style="119"/>
    <col min="2303" max="2303" width="13.140625" style="119" bestFit="1" customWidth="1"/>
    <col min="2304" max="2304" width="14.85546875" style="119" bestFit="1" customWidth="1"/>
    <col min="2305" max="2305" width="12.85546875" style="119" bestFit="1" customWidth="1"/>
    <col min="2306" max="2306" width="14.5703125" style="119" bestFit="1" customWidth="1"/>
    <col min="2307" max="2307" width="11.28515625" style="119" bestFit="1" customWidth="1"/>
    <col min="2308" max="2308" width="13.7109375" style="119" customWidth="1"/>
    <col min="2309" max="2309" width="7.5703125" style="119" bestFit="1" customWidth="1"/>
    <col min="2310" max="2310" width="14.85546875" style="119" bestFit="1" customWidth="1"/>
    <col min="2311" max="2311" width="7.5703125" style="119" bestFit="1" customWidth="1"/>
    <col min="2312" max="2312" width="14.85546875" style="119" bestFit="1" customWidth="1"/>
    <col min="2313" max="2313" width="7.5703125" style="119" bestFit="1" customWidth="1"/>
    <col min="2314" max="2314" width="15.28515625" style="119" bestFit="1" customWidth="1"/>
    <col min="2315" max="2315" width="7.5703125" style="119" bestFit="1" customWidth="1"/>
    <col min="2316" max="2316" width="15.28515625" style="119" bestFit="1" customWidth="1"/>
    <col min="2317" max="2317" width="7.5703125" style="119" customWidth="1"/>
    <col min="2318" max="2318" width="15.85546875" style="119" bestFit="1" customWidth="1"/>
    <col min="2319" max="2319" width="7.5703125" style="119" bestFit="1" customWidth="1"/>
    <col min="2320" max="2320" width="14.42578125" style="119" bestFit="1" customWidth="1"/>
    <col min="2321" max="2321" width="17.140625" style="119" customWidth="1"/>
    <col min="2322" max="2558" width="11.42578125" style="119"/>
    <col min="2559" max="2559" width="13.140625" style="119" bestFit="1" customWidth="1"/>
    <col min="2560" max="2560" width="14.85546875" style="119" bestFit="1" customWidth="1"/>
    <col min="2561" max="2561" width="12.85546875" style="119" bestFit="1" customWidth="1"/>
    <col min="2562" max="2562" width="14.5703125" style="119" bestFit="1" customWidth="1"/>
    <col min="2563" max="2563" width="11.28515625" style="119" bestFit="1" customWidth="1"/>
    <col min="2564" max="2564" width="13.7109375" style="119" customWidth="1"/>
    <col min="2565" max="2565" width="7.5703125" style="119" bestFit="1" customWidth="1"/>
    <col min="2566" max="2566" width="14.85546875" style="119" bestFit="1" customWidth="1"/>
    <col min="2567" max="2567" width="7.5703125" style="119" bestFit="1" customWidth="1"/>
    <col min="2568" max="2568" width="14.85546875" style="119" bestFit="1" customWidth="1"/>
    <col min="2569" max="2569" width="7.5703125" style="119" bestFit="1" customWidth="1"/>
    <col min="2570" max="2570" width="15.28515625" style="119" bestFit="1" customWidth="1"/>
    <col min="2571" max="2571" width="7.5703125" style="119" bestFit="1" customWidth="1"/>
    <col min="2572" max="2572" width="15.28515625" style="119" bestFit="1" customWidth="1"/>
    <col min="2573" max="2573" width="7.5703125" style="119" customWidth="1"/>
    <col min="2574" max="2574" width="15.85546875" style="119" bestFit="1" customWidth="1"/>
    <col min="2575" max="2575" width="7.5703125" style="119" bestFit="1" customWidth="1"/>
    <col min="2576" max="2576" width="14.42578125" style="119" bestFit="1" customWidth="1"/>
    <col min="2577" max="2577" width="17.140625" style="119" customWidth="1"/>
    <col min="2578" max="2814" width="11.42578125" style="119"/>
    <col min="2815" max="2815" width="13.140625" style="119" bestFit="1" customWidth="1"/>
    <col min="2816" max="2816" width="14.85546875" style="119" bestFit="1" customWidth="1"/>
    <col min="2817" max="2817" width="12.85546875" style="119" bestFit="1" customWidth="1"/>
    <col min="2818" max="2818" width="14.5703125" style="119" bestFit="1" customWidth="1"/>
    <col min="2819" max="2819" width="11.28515625" style="119" bestFit="1" customWidth="1"/>
    <col min="2820" max="2820" width="13.7109375" style="119" customWidth="1"/>
    <col min="2821" max="2821" width="7.5703125" style="119" bestFit="1" customWidth="1"/>
    <col min="2822" max="2822" width="14.85546875" style="119" bestFit="1" customWidth="1"/>
    <col min="2823" max="2823" width="7.5703125" style="119" bestFit="1" customWidth="1"/>
    <col min="2824" max="2824" width="14.85546875" style="119" bestFit="1" customWidth="1"/>
    <col min="2825" max="2825" width="7.5703125" style="119" bestFit="1" customWidth="1"/>
    <col min="2826" max="2826" width="15.28515625" style="119" bestFit="1" customWidth="1"/>
    <col min="2827" max="2827" width="7.5703125" style="119" bestFit="1" customWidth="1"/>
    <col min="2828" max="2828" width="15.28515625" style="119" bestFit="1" customWidth="1"/>
    <col min="2829" max="2829" width="7.5703125" style="119" customWidth="1"/>
    <col min="2830" max="2830" width="15.85546875" style="119" bestFit="1" customWidth="1"/>
    <col min="2831" max="2831" width="7.5703125" style="119" bestFit="1" customWidth="1"/>
    <col min="2832" max="2832" width="14.42578125" style="119" bestFit="1" customWidth="1"/>
    <col min="2833" max="2833" width="17.140625" style="119" customWidth="1"/>
    <col min="2834" max="3070" width="11.42578125" style="119"/>
    <col min="3071" max="3071" width="13.140625" style="119" bestFit="1" customWidth="1"/>
    <col min="3072" max="3072" width="14.85546875" style="119" bestFit="1" customWidth="1"/>
    <col min="3073" max="3073" width="12.85546875" style="119" bestFit="1" customWidth="1"/>
    <col min="3074" max="3074" width="14.5703125" style="119" bestFit="1" customWidth="1"/>
    <col min="3075" max="3075" width="11.28515625" style="119" bestFit="1" customWidth="1"/>
    <col min="3076" max="3076" width="13.7109375" style="119" customWidth="1"/>
    <col min="3077" max="3077" width="7.5703125" style="119" bestFit="1" customWidth="1"/>
    <col min="3078" max="3078" width="14.85546875" style="119" bestFit="1" customWidth="1"/>
    <col min="3079" max="3079" width="7.5703125" style="119" bestFit="1" customWidth="1"/>
    <col min="3080" max="3080" width="14.85546875" style="119" bestFit="1" customWidth="1"/>
    <col min="3081" max="3081" width="7.5703125" style="119" bestFit="1" customWidth="1"/>
    <col min="3082" max="3082" width="15.28515625" style="119" bestFit="1" customWidth="1"/>
    <col min="3083" max="3083" width="7.5703125" style="119" bestFit="1" customWidth="1"/>
    <col min="3084" max="3084" width="15.28515625" style="119" bestFit="1" customWidth="1"/>
    <col min="3085" max="3085" width="7.5703125" style="119" customWidth="1"/>
    <col min="3086" max="3086" width="15.85546875" style="119" bestFit="1" customWidth="1"/>
    <col min="3087" max="3087" width="7.5703125" style="119" bestFit="1" customWidth="1"/>
    <col min="3088" max="3088" width="14.42578125" style="119" bestFit="1" customWidth="1"/>
    <col min="3089" max="3089" width="17.140625" style="119" customWidth="1"/>
    <col min="3090" max="3326" width="11.42578125" style="119"/>
    <col min="3327" max="3327" width="13.140625" style="119" bestFit="1" customWidth="1"/>
    <col min="3328" max="3328" width="14.85546875" style="119" bestFit="1" customWidth="1"/>
    <col min="3329" max="3329" width="12.85546875" style="119" bestFit="1" customWidth="1"/>
    <col min="3330" max="3330" width="14.5703125" style="119" bestFit="1" customWidth="1"/>
    <col min="3331" max="3331" width="11.28515625" style="119" bestFit="1" customWidth="1"/>
    <col min="3332" max="3332" width="13.7109375" style="119" customWidth="1"/>
    <col min="3333" max="3333" width="7.5703125" style="119" bestFit="1" customWidth="1"/>
    <col min="3334" max="3334" width="14.85546875" style="119" bestFit="1" customWidth="1"/>
    <col min="3335" max="3335" width="7.5703125" style="119" bestFit="1" customWidth="1"/>
    <col min="3336" max="3336" width="14.85546875" style="119" bestFit="1" customWidth="1"/>
    <col min="3337" max="3337" width="7.5703125" style="119" bestFit="1" customWidth="1"/>
    <col min="3338" max="3338" width="15.28515625" style="119" bestFit="1" customWidth="1"/>
    <col min="3339" max="3339" width="7.5703125" style="119" bestFit="1" customWidth="1"/>
    <col min="3340" max="3340" width="15.28515625" style="119" bestFit="1" customWidth="1"/>
    <col min="3341" max="3341" width="7.5703125" style="119" customWidth="1"/>
    <col min="3342" max="3342" width="15.85546875" style="119" bestFit="1" customWidth="1"/>
    <col min="3343" max="3343" width="7.5703125" style="119" bestFit="1" customWidth="1"/>
    <col min="3344" max="3344" width="14.42578125" style="119" bestFit="1" customWidth="1"/>
    <col min="3345" max="3345" width="17.140625" style="119" customWidth="1"/>
    <col min="3346" max="3582" width="11.42578125" style="119"/>
    <col min="3583" max="3583" width="13.140625" style="119" bestFit="1" customWidth="1"/>
    <col min="3584" max="3584" width="14.85546875" style="119" bestFit="1" customWidth="1"/>
    <col min="3585" max="3585" width="12.85546875" style="119" bestFit="1" customWidth="1"/>
    <col min="3586" max="3586" width="14.5703125" style="119" bestFit="1" customWidth="1"/>
    <col min="3587" max="3587" width="11.28515625" style="119" bestFit="1" customWidth="1"/>
    <col min="3588" max="3588" width="13.7109375" style="119" customWidth="1"/>
    <col min="3589" max="3589" width="7.5703125" style="119" bestFit="1" customWidth="1"/>
    <col min="3590" max="3590" width="14.85546875" style="119" bestFit="1" customWidth="1"/>
    <col min="3591" max="3591" width="7.5703125" style="119" bestFit="1" customWidth="1"/>
    <col min="3592" max="3592" width="14.85546875" style="119" bestFit="1" customWidth="1"/>
    <col min="3593" max="3593" width="7.5703125" style="119" bestFit="1" customWidth="1"/>
    <col min="3594" max="3594" width="15.28515625" style="119" bestFit="1" customWidth="1"/>
    <col min="3595" max="3595" width="7.5703125" style="119" bestFit="1" customWidth="1"/>
    <col min="3596" max="3596" width="15.28515625" style="119" bestFit="1" customWidth="1"/>
    <col min="3597" max="3597" width="7.5703125" style="119" customWidth="1"/>
    <col min="3598" max="3598" width="15.85546875" style="119" bestFit="1" customWidth="1"/>
    <col min="3599" max="3599" width="7.5703125" style="119" bestFit="1" customWidth="1"/>
    <col min="3600" max="3600" width="14.42578125" style="119" bestFit="1" customWidth="1"/>
    <col min="3601" max="3601" width="17.140625" style="119" customWidth="1"/>
    <col min="3602" max="3838" width="11.42578125" style="119"/>
    <col min="3839" max="3839" width="13.140625" style="119" bestFit="1" customWidth="1"/>
    <col min="3840" max="3840" width="14.85546875" style="119" bestFit="1" customWidth="1"/>
    <col min="3841" max="3841" width="12.85546875" style="119" bestFit="1" customWidth="1"/>
    <col min="3842" max="3842" width="14.5703125" style="119" bestFit="1" customWidth="1"/>
    <col min="3843" max="3843" width="11.28515625" style="119" bestFit="1" customWidth="1"/>
    <col min="3844" max="3844" width="13.7109375" style="119" customWidth="1"/>
    <col min="3845" max="3845" width="7.5703125" style="119" bestFit="1" customWidth="1"/>
    <col min="3846" max="3846" width="14.85546875" style="119" bestFit="1" customWidth="1"/>
    <col min="3847" max="3847" width="7.5703125" style="119" bestFit="1" customWidth="1"/>
    <col min="3848" max="3848" width="14.85546875" style="119" bestFit="1" customWidth="1"/>
    <col min="3849" max="3849" width="7.5703125" style="119" bestFit="1" customWidth="1"/>
    <col min="3850" max="3850" width="15.28515625" style="119" bestFit="1" customWidth="1"/>
    <col min="3851" max="3851" width="7.5703125" style="119" bestFit="1" customWidth="1"/>
    <col min="3852" max="3852" width="15.28515625" style="119" bestFit="1" customWidth="1"/>
    <col min="3853" max="3853" width="7.5703125" style="119" customWidth="1"/>
    <col min="3854" max="3854" width="15.85546875" style="119" bestFit="1" customWidth="1"/>
    <col min="3855" max="3855" width="7.5703125" style="119" bestFit="1" customWidth="1"/>
    <col min="3856" max="3856" width="14.42578125" style="119" bestFit="1" customWidth="1"/>
    <col min="3857" max="3857" width="17.140625" style="119" customWidth="1"/>
    <col min="3858" max="4094" width="11.42578125" style="119"/>
    <col min="4095" max="4095" width="13.140625" style="119" bestFit="1" customWidth="1"/>
    <col min="4096" max="4096" width="14.85546875" style="119" bestFit="1" customWidth="1"/>
    <col min="4097" max="4097" width="12.85546875" style="119" bestFit="1" customWidth="1"/>
    <col min="4098" max="4098" width="14.5703125" style="119" bestFit="1" customWidth="1"/>
    <col min="4099" max="4099" width="11.28515625" style="119" bestFit="1" customWidth="1"/>
    <col min="4100" max="4100" width="13.7109375" style="119" customWidth="1"/>
    <col min="4101" max="4101" width="7.5703125" style="119" bestFit="1" customWidth="1"/>
    <col min="4102" max="4102" width="14.85546875" style="119" bestFit="1" customWidth="1"/>
    <col min="4103" max="4103" width="7.5703125" style="119" bestFit="1" customWidth="1"/>
    <col min="4104" max="4104" width="14.85546875" style="119" bestFit="1" customWidth="1"/>
    <col min="4105" max="4105" width="7.5703125" style="119" bestFit="1" customWidth="1"/>
    <col min="4106" max="4106" width="15.28515625" style="119" bestFit="1" customWidth="1"/>
    <col min="4107" max="4107" width="7.5703125" style="119" bestFit="1" customWidth="1"/>
    <col min="4108" max="4108" width="15.28515625" style="119" bestFit="1" customWidth="1"/>
    <col min="4109" max="4109" width="7.5703125" style="119" customWidth="1"/>
    <col min="4110" max="4110" width="15.85546875" style="119" bestFit="1" customWidth="1"/>
    <col min="4111" max="4111" width="7.5703125" style="119" bestFit="1" customWidth="1"/>
    <col min="4112" max="4112" width="14.42578125" style="119" bestFit="1" customWidth="1"/>
    <col min="4113" max="4113" width="17.140625" style="119" customWidth="1"/>
    <col min="4114" max="4350" width="11.42578125" style="119"/>
    <col min="4351" max="4351" width="13.140625" style="119" bestFit="1" customWidth="1"/>
    <col min="4352" max="4352" width="14.85546875" style="119" bestFit="1" customWidth="1"/>
    <col min="4353" max="4353" width="12.85546875" style="119" bestFit="1" customWidth="1"/>
    <col min="4354" max="4354" width="14.5703125" style="119" bestFit="1" customWidth="1"/>
    <col min="4355" max="4355" width="11.28515625" style="119" bestFit="1" customWidth="1"/>
    <col min="4356" max="4356" width="13.7109375" style="119" customWidth="1"/>
    <col min="4357" max="4357" width="7.5703125" style="119" bestFit="1" customWidth="1"/>
    <col min="4358" max="4358" width="14.85546875" style="119" bestFit="1" customWidth="1"/>
    <col min="4359" max="4359" width="7.5703125" style="119" bestFit="1" customWidth="1"/>
    <col min="4360" max="4360" width="14.85546875" style="119" bestFit="1" customWidth="1"/>
    <col min="4361" max="4361" width="7.5703125" style="119" bestFit="1" customWidth="1"/>
    <col min="4362" max="4362" width="15.28515625" style="119" bestFit="1" customWidth="1"/>
    <col min="4363" max="4363" width="7.5703125" style="119" bestFit="1" customWidth="1"/>
    <col min="4364" max="4364" width="15.28515625" style="119" bestFit="1" customWidth="1"/>
    <col min="4365" max="4365" width="7.5703125" style="119" customWidth="1"/>
    <col min="4366" max="4366" width="15.85546875" style="119" bestFit="1" customWidth="1"/>
    <col min="4367" max="4367" width="7.5703125" style="119" bestFit="1" customWidth="1"/>
    <col min="4368" max="4368" width="14.42578125" style="119" bestFit="1" customWidth="1"/>
    <col min="4369" max="4369" width="17.140625" style="119" customWidth="1"/>
    <col min="4370" max="4606" width="11.42578125" style="119"/>
    <col min="4607" max="4607" width="13.140625" style="119" bestFit="1" customWidth="1"/>
    <col min="4608" max="4608" width="14.85546875" style="119" bestFit="1" customWidth="1"/>
    <col min="4609" max="4609" width="12.85546875" style="119" bestFit="1" customWidth="1"/>
    <col min="4610" max="4610" width="14.5703125" style="119" bestFit="1" customWidth="1"/>
    <col min="4611" max="4611" width="11.28515625" style="119" bestFit="1" customWidth="1"/>
    <col min="4612" max="4612" width="13.7109375" style="119" customWidth="1"/>
    <col min="4613" max="4613" width="7.5703125" style="119" bestFit="1" customWidth="1"/>
    <col min="4614" max="4614" width="14.85546875" style="119" bestFit="1" customWidth="1"/>
    <col min="4615" max="4615" width="7.5703125" style="119" bestFit="1" customWidth="1"/>
    <col min="4616" max="4616" width="14.85546875" style="119" bestFit="1" customWidth="1"/>
    <col min="4617" max="4617" width="7.5703125" style="119" bestFit="1" customWidth="1"/>
    <col min="4618" max="4618" width="15.28515625" style="119" bestFit="1" customWidth="1"/>
    <col min="4619" max="4619" width="7.5703125" style="119" bestFit="1" customWidth="1"/>
    <col min="4620" max="4620" width="15.28515625" style="119" bestFit="1" customWidth="1"/>
    <col min="4621" max="4621" width="7.5703125" style="119" customWidth="1"/>
    <col min="4622" max="4622" width="15.85546875" style="119" bestFit="1" customWidth="1"/>
    <col min="4623" max="4623" width="7.5703125" style="119" bestFit="1" customWidth="1"/>
    <col min="4624" max="4624" width="14.42578125" style="119" bestFit="1" customWidth="1"/>
    <col min="4625" max="4625" width="17.140625" style="119" customWidth="1"/>
    <col min="4626" max="4862" width="11.42578125" style="119"/>
    <col min="4863" max="4863" width="13.140625" style="119" bestFit="1" customWidth="1"/>
    <col min="4864" max="4864" width="14.85546875" style="119" bestFit="1" customWidth="1"/>
    <col min="4865" max="4865" width="12.85546875" style="119" bestFit="1" customWidth="1"/>
    <col min="4866" max="4866" width="14.5703125" style="119" bestFit="1" customWidth="1"/>
    <col min="4867" max="4867" width="11.28515625" style="119" bestFit="1" customWidth="1"/>
    <col min="4868" max="4868" width="13.7109375" style="119" customWidth="1"/>
    <col min="4869" max="4869" width="7.5703125" style="119" bestFit="1" customWidth="1"/>
    <col min="4870" max="4870" width="14.85546875" style="119" bestFit="1" customWidth="1"/>
    <col min="4871" max="4871" width="7.5703125" style="119" bestFit="1" customWidth="1"/>
    <col min="4872" max="4872" width="14.85546875" style="119" bestFit="1" customWidth="1"/>
    <col min="4873" max="4873" width="7.5703125" style="119" bestFit="1" customWidth="1"/>
    <col min="4874" max="4874" width="15.28515625" style="119" bestFit="1" customWidth="1"/>
    <col min="4875" max="4875" width="7.5703125" style="119" bestFit="1" customWidth="1"/>
    <col min="4876" max="4876" width="15.28515625" style="119" bestFit="1" customWidth="1"/>
    <col min="4877" max="4877" width="7.5703125" style="119" customWidth="1"/>
    <col min="4878" max="4878" width="15.85546875" style="119" bestFit="1" customWidth="1"/>
    <col min="4879" max="4879" width="7.5703125" style="119" bestFit="1" customWidth="1"/>
    <col min="4880" max="4880" width="14.42578125" style="119" bestFit="1" customWidth="1"/>
    <col min="4881" max="4881" width="17.140625" style="119" customWidth="1"/>
    <col min="4882" max="5118" width="11.42578125" style="119"/>
    <col min="5119" max="5119" width="13.140625" style="119" bestFit="1" customWidth="1"/>
    <col min="5120" max="5120" width="14.85546875" style="119" bestFit="1" customWidth="1"/>
    <col min="5121" max="5121" width="12.85546875" style="119" bestFit="1" customWidth="1"/>
    <col min="5122" max="5122" width="14.5703125" style="119" bestFit="1" customWidth="1"/>
    <col min="5123" max="5123" width="11.28515625" style="119" bestFit="1" customWidth="1"/>
    <col min="5124" max="5124" width="13.7109375" style="119" customWidth="1"/>
    <col min="5125" max="5125" width="7.5703125" style="119" bestFit="1" customWidth="1"/>
    <col min="5126" max="5126" width="14.85546875" style="119" bestFit="1" customWidth="1"/>
    <col min="5127" max="5127" width="7.5703125" style="119" bestFit="1" customWidth="1"/>
    <col min="5128" max="5128" width="14.85546875" style="119" bestFit="1" customWidth="1"/>
    <col min="5129" max="5129" width="7.5703125" style="119" bestFit="1" customWidth="1"/>
    <col min="5130" max="5130" width="15.28515625" style="119" bestFit="1" customWidth="1"/>
    <col min="5131" max="5131" width="7.5703125" style="119" bestFit="1" customWidth="1"/>
    <col min="5132" max="5132" width="15.28515625" style="119" bestFit="1" customWidth="1"/>
    <col min="5133" max="5133" width="7.5703125" style="119" customWidth="1"/>
    <col min="5134" max="5134" width="15.85546875" style="119" bestFit="1" customWidth="1"/>
    <col min="5135" max="5135" width="7.5703125" style="119" bestFit="1" customWidth="1"/>
    <col min="5136" max="5136" width="14.42578125" style="119" bestFit="1" customWidth="1"/>
    <col min="5137" max="5137" width="17.140625" style="119" customWidth="1"/>
    <col min="5138" max="5374" width="11.42578125" style="119"/>
    <col min="5375" max="5375" width="13.140625" style="119" bestFit="1" customWidth="1"/>
    <col min="5376" max="5376" width="14.85546875" style="119" bestFit="1" customWidth="1"/>
    <col min="5377" max="5377" width="12.85546875" style="119" bestFit="1" customWidth="1"/>
    <col min="5378" max="5378" width="14.5703125" style="119" bestFit="1" customWidth="1"/>
    <col min="5379" max="5379" width="11.28515625" style="119" bestFit="1" customWidth="1"/>
    <col min="5380" max="5380" width="13.7109375" style="119" customWidth="1"/>
    <col min="5381" max="5381" width="7.5703125" style="119" bestFit="1" customWidth="1"/>
    <col min="5382" max="5382" width="14.85546875" style="119" bestFit="1" customWidth="1"/>
    <col min="5383" max="5383" width="7.5703125" style="119" bestFit="1" customWidth="1"/>
    <col min="5384" max="5384" width="14.85546875" style="119" bestFit="1" customWidth="1"/>
    <col min="5385" max="5385" width="7.5703125" style="119" bestFit="1" customWidth="1"/>
    <col min="5386" max="5386" width="15.28515625" style="119" bestFit="1" customWidth="1"/>
    <col min="5387" max="5387" width="7.5703125" style="119" bestFit="1" customWidth="1"/>
    <col min="5388" max="5388" width="15.28515625" style="119" bestFit="1" customWidth="1"/>
    <col min="5389" max="5389" width="7.5703125" style="119" customWidth="1"/>
    <col min="5390" max="5390" width="15.85546875" style="119" bestFit="1" customWidth="1"/>
    <col min="5391" max="5391" width="7.5703125" style="119" bestFit="1" customWidth="1"/>
    <col min="5392" max="5392" width="14.42578125" style="119" bestFit="1" customWidth="1"/>
    <col min="5393" max="5393" width="17.140625" style="119" customWidth="1"/>
    <col min="5394" max="5630" width="11.42578125" style="119"/>
    <col min="5631" max="5631" width="13.140625" style="119" bestFit="1" customWidth="1"/>
    <col min="5632" max="5632" width="14.85546875" style="119" bestFit="1" customWidth="1"/>
    <col min="5633" max="5633" width="12.85546875" style="119" bestFit="1" customWidth="1"/>
    <col min="5634" max="5634" width="14.5703125" style="119" bestFit="1" customWidth="1"/>
    <col min="5635" max="5635" width="11.28515625" style="119" bestFit="1" customWidth="1"/>
    <col min="5636" max="5636" width="13.7109375" style="119" customWidth="1"/>
    <col min="5637" max="5637" width="7.5703125" style="119" bestFit="1" customWidth="1"/>
    <col min="5638" max="5638" width="14.85546875" style="119" bestFit="1" customWidth="1"/>
    <col min="5639" max="5639" width="7.5703125" style="119" bestFit="1" customWidth="1"/>
    <col min="5640" max="5640" width="14.85546875" style="119" bestFit="1" customWidth="1"/>
    <col min="5641" max="5641" width="7.5703125" style="119" bestFit="1" customWidth="1"/>
    <col min="5642" max="5642" width="15.28515625" style="119" bestFit="1" customWidth="1"/>
    <col min="5643" max="5643" width="7.5703125" style="119" bestFit="1" customWidth="1"/>
    <col min="5644" max="5644" width="15.28515625" style="119" bestFit="1" customWidth="1"/>
    <col min="5645" max="5645" width="7.5703125" style="119" customWidth="1"/>
    <col min="5646" max="5646" width="15.85546875" style="119" bestFit="1" customWidth="1"/>
    <col min="5647" max="5647" width="7.5703125" style="119" bestFit="1" customWidth="1"/>
    <col min="5648" max="5648" width="14.42578125" style="119" bestFit="1" customWidth="1"/>
    <col min="5649" max="5649" width="17.140625" style="119" customWidth="1"/>
    <col min="5650" max="5886" width="11.42578125" style="119"/>
    <col min="5887" max="5887" width="13.140625" style="119" bestFit="1" customWidth="1"/>
    <col min="5888" max="5888" width="14.85546875" style="119" bestFit="1" customWidth="1"/>
    <col min="5889" max="5889" width="12.85546875" style="119" bestFit="1" customWidth="1"/>
    <col min="5890" max="5890" width="14.5703125" style="119" bestFit="1" customWidth="1"/>
    <col min="5891" max="5891" width="11.28515625" style="119" bestFit="1" customWidth="1"/>
    <col min="5892" max="5892" width="13.7109375" style="119" customWidth="1"/>
    <col min="5893" max="5893" width="7.5703125" style="119" bestFit="1" customWidth="1"/>
    <col min="5894" max="5894" width="14.85546875" style="119" bestFit="1" customWidth="1"/>
    <col min="5895" max="5895" width="7.5703125" style="119" bestFit="1" customWidth="1"/>
    <col min="5896" max="5896" width="14.85546875" style="119" bestFit="1" customWidth="1"/>
    <col min="5897" max="5897" width="7.5703125" style="119" bestFit="1" customWidth="1"/>
    <col min="5898" max="5898" width="15.28515625" style="119" bestFit="1" customWidth="1"/>
    <col min="5899" max="5899" width="7.5703125" style="119" bestFit="1" customWidth="1"/>
    <col min="5900" max="5900" width="15.28515625" style="119" bestFit="1" customWidth="1"/>
    <col min="5901" max="5901" width="7.5703125" style="119" customWidth="1"/>
    <col min="5902" max="5902" width="15.85546875" style="119" bestFit="1" customWidth="1"/>
    <col min="5903" max="5903" width="7.5703125" style="119" bestFit="1" customWidth="1"/>
    <col min="5904" max="5904" width="14.42578125" style="119" bestFit="1" customWidth="1"/>
    <col min="5905" max="5905" width="17.140625" style="119" customWidth="1"/>
    <col min="5906" max="6142" width="11.42578125" style="119"/>
    <col min="6143" max="6143" width="13.140625" style="119" bestFit="1" customWidth="1"/>
    <col min="6144" max="6144" width="14.85546875" style="119" bestFit="1" customWidth="1"/>
    <col min="6145" max="6145" width="12.85546875" style="119" bestFit="1" customWidth="1"/>
    <col min="6146" max="6146" width="14.5703125" style="119" bestFit="1" customWidth="1"/>
    <col min="6147" max="6147" width="11.28515625" style="119" bestFit="1" customWidth="1"/>
    <col min="6148" max="6148" width="13.7109375" style="119" customWidth="1"/>
    <col min="6149" max="6149" width="7.5703125" style="119" bestFit="1" customWidth="1"/>
    <col min="6150" max="6150" width="14.85546875" style="119" bestFit="1" customWidth="1"/>
    <col min="6151" max="6151" width="7.5703125" style="119" bestFit="1" customWidth="1"/>
    <col min="6152" max="6152" width="14.85546875" style="119" bestFit="1" customWidth="1"/>
    <col min="6153" max="6153" width="7.5703125" style="119" bestFit="1" customWidth="1"/>
    <col min="6154" max="6154" width="15.28515625" style="119" bestFit="1" customWidth="1"/>
    <col min="6155" max="6155" width="7.5703125" style="119" bestFit="1" customWidth="1"/>
    <col min="6156" max="6156" width="15.28515625" style="119" bestFit="1" customWidth="1"/>
    <col min="6157" max="6157" width="7.5703125" style="119" customWidth="1"/>
    <col min="6158" max="6158" width="15.85546875" style="119" bestFit="1" customWidth="1"/>
    <col min="6159" max="6159" width="7.5703125" style="119" bestFit="1" customWidth="1"/>
    <col min="6160" max="6160" width="14.42578125" style="119" bestFit="1" customWidth="1"/>
    <col min="6161" max="6161" width="17.140625" style="119" customWidth="1"/>
    <col min="6162" max="6398" width="11.42578125" style="119"/>
    <col min="6399" max="6399" width="13.140625" style="119" bestFit="1" customWidth="1"/>
    <col min="6400" max="6400" width="14.85546875" style="119" bestFit="1" customWidth="1"/>
    <col min="6401" max="6401" width="12.85546875" style="119" bestFit="1" customWidth="1"/>
    <col min="6402" max="6402" width="14.5703125" style="119" bestFit="1" customWidth="1"/>
    <col min="6403" max="6403" width="11.28515625" style="119" bestFit="1" customWidth="1"/>
    <col min="6404" max="6404" width="13.7109375" style="119" customWidth="1"/>
    <col min="6405" max="6405" width="7.5703125" style="119" bestFit="1" customWidth="1"/>
    <col min="6406" max="6406" width="14.85546875" style="119" bestFit="1" customWidth="1"/>
    <col min="6407" max="6407" width="7.5703125" style="119" bestFit="1" customWidth="1"/>
    <col min="6408" max="6408" width="14.85546875" style="119" bestFit="1" customWidth="1"/>
    <col min="6409" max="6409" width="7.5703125" style="119" bestFit="1" customWidth="1"/>
    <col min="6410" max="6410" width="15.28515625" style="119" bestFit="1" customWidth="1"/>
    <col min="6411" max="6411" width="7.5703125" style="119" bestFit="1" customWidth="1"/>
    <col min="6412" max="6412" width="15.28515625" style="119" bestFit="1" customWidth="1"/>
    <col min="6413" max="6413" width="7.5703125" style="119" customWidth="1"/>
    <col min="6414" max="6414" width="15.85546875" style="119" bestFit="1" customWidth="1"/>
    <col min="6415" max="6415" width="7.5703125" style="119" bestFit="1" customWidth="1"/>
    <col min="6416" max="6416" width="14.42578125" style="119" bestFit="1" customWidth="1"/>
    <col min="6417" max="6417" width="17.140625" style="119" customWidth="1"/>
    <col min="6418" max="6654" width="11.42578125" style="119"/>
    <col min="6655" max="6655" width="13.140625" style="119" bestFit="1" customWidth="1"/>
    <col min="6656" max="6656" width="14.85546875" style="119" bestFit="1" customWidth="1"/>
    <col min="6657" max="6657" width="12.85546875" style="119" bestFit="1" customWidth="1"/>
    <col min="6658" max="6658" width="14.5703125" style="119" bestFit="1" customWidth="1"/>
    <col min="6659" max="6659" width="11.28515625" style="119" bestFit="1" customWidth="1"/>
    <col min="6660" max="6660" width="13.7109375" style="119" customWidth="1"/>
    <col min="6661" max="6661" width="7.5703125" style="119" bestFit="1" customWidth="1"/>
    <col min="6662" max="6662" width="14.85546875" style="119" bestFit="1" customWidth="1"/>
    <col min="6663" max="6663" width="7.5703125" style="119" bestFit="1" customWidth="1"/>
    <col min="6664" max="6664" width="14.85546875" style="119" bestFit="1" customWidth="1"/>
    <col min="6665" max="6665" width="7.5703125" style="119" bestFit="1" customWidth="1"/>
    <col min="6666" max="6666" width="15.28515625" style="119" bestFit="1" customWidth="1"/>
    <col min="6667" max="6667" width="7.5703125" style="119" bestFit="1" customWidth="1"/>
    <col min="6668" max="6668" width="15.28515625" style="119" bestFit="1" customWidth="1"/>
    <col min="6669" max="6669" width="7.5703125" style="119" customWidth="1"/>
    <col min="6670" max="6670" width="15.85546875" style="119" bestFit="1" customWidth="1"/>
    <col min="6671" max="6671" width="7.5703125" style="119" bestFit="1" customWidth="1"/>
    <col min="6672" max="6672" width="14.42578125" style="119" bestFit="1" customWidth="1"/>
    <col min="6673" max="6673" width="17.140625" style="119" customWidth="1"/>
    <col min="6674" max="6910" width="11.42578125" style="119"/>
    <col min="6911" max="6911" width="13.140625" style="119" bestFit="1" customWidth="1"/>
    <col min="6912" max="6912" width="14.85546875" style="119" bestFit="1" customWidth="1"/>
    <col min="6913" max="6913" width="12.85546875" style="119" bestFit="1" customWidth="1"/>
    <col min="6914" max="6914" width="14.5703125" style="119" bestFit="1" customWidth="1"/>
    <col min="6915" max="6915" width="11.28515625" style="119" bestFit="1" customWidth="1"/>
    <col min="6916" max="6916" width="13.7109375" style="119" customWidth="1"/>
    <col min="6917" max="6917" width="7.5703125" style="119" bestFit="1" customWidth="1"/>
    <col min="6918" max="6918" width="14.85546875" style="119" bestFit="1" customWidth="1"/>
    <col min="6919" max="6919" width="7.5703125" style="119" bestFit="1" customWidth="1"/>
    <col min="6920" max="6920" width="14.85546875" style="119" bestFit="1" customWidth="1"/>
    <col min="6921" max="6921" width="7.5703125" style="119" bestFit="1" customWidth="1"/>
    <col min="6922" max="6922" width="15.28515625" style="119" bestFit="1" customWidth="1"/>
    <col min="6923" max="6923" width="7.5703125" style="119" bestFit="1" customWidth="1"/>
    <col min="6924" max="6924" width="15.28515625" style="119" bestFit="1" customWidth="1"/>
    <col min="6925" max="6925" width="7.5703125" style="119" customWidth="1"/>
    <col min="6926" max="6926" width="15.85546875" style="119" bestFit="1" customWidth="1"/>
    <col min="6927" max="6927" width="7.5703125" style="119" bestFit="1" customWidth="1"/>
    <col min="6928" max="6928" width="14.42578125" style="119" bestFit="1" customWidth="1"/>
    <col min="6929" max="6929" width="17.140625" style="119" customWidth="1"/>
    <col min="6930" max="7166" width="11.42578125" style="119"/>
    <col min="7167" max="7167" width="13.140625" style="119" bestFit="1" customWidth="1"/>
    <col min="7168" max="7168" width="14.85546875" style="119" bestFit="1" customWidth="1"/>
    <col min="7169" max="7169" width="12.85546875" style="119" bestFit="1" customWidth="1"/>
    <col min="7170" max="7170" width="14.5703125" style="119" bestFit="1" customWidth="1"/>
    <col min="7171" max="7171" width="11.28515625" style="119" bestFit="1" customWidth="1"/>
    <col min="7172" max="7172" width="13.7109375" style="119" customWidth="1"/>
    <col min="7173" max="7173" width="7.5703125" style="119" bestFit="1" customWidth="1"/>
    <col min="7174" max="7174" width="14.85546875" style="119" bestFit="1" customWidth="1"/>
    <col min="7175" max="7175" width="7.5703125" style="119" bestFit="1" customWidth="1"/>
    <col min="7176" max="7176" width="14.85546875" style="119" bestFit="1" customWidth="1"/>
    <col min="7177" max="7177" width="7.5703125" style="119" bestFit="1" customWidth="1"/>
    <col min="7178" max="7178" width="15.28515625" style="119" bestFit="1" customWidth="1"/>
    <col min="7179" max="7179" width="7.5703125" style="119" bestFit="1" customWidth="1"/>
    <col min="7180" max="7180" width="15.28515625" style="119" bestFit="1" customWidth="1"/>
    <col min="7181" max="7181" width="7.5703125" style="119" customWidth="1"/>
    <col min="7182" max="7182" width="15.85546875" style="119" bestFit="1" customWidth="1"/>
    <col min="7183" max="7183" width="7.5703125" style="119" bestFit="1" customWidth="1"/>
    <col min="7184" max="7184" width="14.42578125" style="119" bestFit="1" customWidth="1"/>
    <col min="7185" max="7185" width="17.140625" style="119" customWidth="1"/>
    <col min="7186" max="7422" width="11.42578125" style="119"/>
    <col min="7423" max="7423" width="13.140625" style="119" bestFit="1" customWidth="1"/>
    <col min="7424" max="7424" width="14.85546875" style="119" bestFit="1" customWidth="1"/>
    <col min="7425" max="7425" width="12.85546875" style="119" bestFit="1" customWidth="1"/>
    <col min="7426" max="7426" width="14.5703125" style="119" bestFit="1" customWidth="1"/>
    <col min="7427" max="7427" width="11.28515625" style="119" bestFit="1" customWidth="1"/>
    <col min="7428" max="7428" width="13.7109375" style="119" customWidth="1"/>
    <col min="7429" max="7429" width="7.5703125" style="119" bestFit="1" customWidth="1"/>
    <col min="7430" max="7430" width="14.85546875" style="119" bestFit="1" customWidth="1"/>
    <col min="7431" max="7431" width="7.5703125" style="119" bestFit="1" customWidth="1"/>
    <col min="7432" max="7432" width="14.85546875" style="119" bestFit="1" customWidth="1"/>
    <col min="7433" max="7433" width="7.5703125" style="119" bestFit="1" customWidth="1"/>
    <col min="7434" max="7434" width="15.28515625" style="119" bestFit="1" customWidth="1"/>
    <col min="7435" max="7435" width="7.5703125" style="119" bestFit="1" customWidth="1"/>
    <col min="7436" max="7436" width="15.28515625" style="119" bestFit="1" customWidth="1"/>
    <col min="7437" max="7437" width="7.5703125" style="119" customWidth="1"/>
    <col min="7438" max="7438" width="15.85546875" style="119" bestFit="1" customWidth="1"/>
    <col min="7439" max="7439" width="7.5703125" style="119" bestFit="1" customWidth="1"/>
    <col min="7440" max="7440" width="14.42578125" style="119" bestFit="1" customWidth="1"/>
    <col min="7441" max="7441" width="17.140625" style="119" customWidth="1"/>
    <col min="7442" max="7678" width="11.42578125" style="119"/>
    <col min="7679" max="7679" width="13.140625" style="119" bestFit="1" customWidth="1"/>
    <col min="7680" max="7680" width="14.85546875" style="119" bestFit="1" customWidth="1"/>
    <col min="7681" max="7681" width="12.85546875" style="119" bestFit="1" customWidth="1"/>
    <col min="7682" max="7682" width="14.5703125" style="119" bestFit="1" customWidth="1"/>
    <col min="7683" max="7683" width="11.28515625" style="119" bestFit="1" customWidth="1"/>
    <col min="7684" max="7684" width="13.7109375" style="119" customWidth="1"/>
    <col min="7685" max="7685" width="7.5703125" style="119" bestFit="1" customWidth="1"/>
    <col min="7686" max="7686" width="14.85546875" style="119" bestFit="1" customWidth="1"/>
    <col min="7687" max="7687" width="7.5703125" style="119" bestFit="1" customWidth="1"/>
    <col min="7688" max="7688" width="14.85546875" style="119" bestFit="1" customWidth="1"/>
    <col min="7689" max="7689" width="7.5703125" style="119" bestFit="1" customWidth="1"/>
    <col min="7690" max="7690" width="15.28515625" style="119" bestFit="1" customWidth="1"/>
    <col min="7691" max="7691" width="7.5703125" style="119" bestFit="1" customWidth="1"/>
    <col min="7692" max="7692" width="15.28515625" style="119" bestFit="1" customWidth="1"/>
    <col min="7693" max="7693" width="7.5703125" style="119" customWidth="1"/>
    <col min="7694" max="7694" width="15.85546875" style="119" bestFit="1" customWidth="1"/>
    <col min="7695" max="7695" width="7.5703125" style="119" bestFit="1" customWidth="1"/>
    <col min="7696" max="7696" width="14.42578125" style="119" bestFit="1" customWidth="1"/>
    <col min="7697" max="7697" width="17.140625" style="119" customWidth="1"/>
    <col min="7698" max="7934" width="11.42578125" style="119"/>
    <col min="7935" max="7935" width="13.140625" style="119" bestFit="1" customWidth="1"/>
    <col min="7936" max="7936" width="14.85546875" style="119" bestFit="1" customWidth="1"/>
    <col min="7937" max="7937" width="12.85546875" style="119" bestFit="1" customWidth="1"/>
    <col min="7938" max="7938" width="14.5703125" style="119" bestFit="1" customWidth="1"/>
    <col min="7939" max="7939" width="11.28515625" style="119" bestFit="1" customWidth="1"/>
    <col min="7940" max="7940" width="13.7109375" style="119" customWidth="1"/>
    <col min="7941" max="7941" width="7.5703125" style="119" bestFit="1" customWidth="1"/>
    <col min="7942" max="7942" width="14.85546875" style="119" bestFit="1" customWidth="1"/>
    <col min="7943" max="7943" width="7.5703125" style="119" bestFit="1" customWidth="1"/>
    <col min="7944" max="7944" width="14.85546875" style="119" bestFit="1" customWidth="1"/>
    <col min="7945" max="7945" width="7.5703125" style="119" bestFit="1" customWidth="1"/>
    <col min="7946" max="7946" width="15.28515625" style="119" bestFit="1" customWidth="1"/>
    <col min="7947" max="7947" width="7.5703125" style="119" bestFit="1" customWidth="1"/>
    <col min="7948" max="7948" width="15.28515625" style="119" bestFit="1" customWidth="1"/>
    <col min="7949" max="7949" width="7.5703125" style="119" customWidth="1"/>
    <col min="7950" max="7950" width="15.85546875" style="119" bestFit="1" customWidth="1"/>
    <col min="7951" max="7951" width="7.5703125" style="119" bestFit="1" customWidth="1"/>
    <col min="7952" max="7952" width="14.42578125" style="119" bestFit="1" customWidth="1"/>
    <col min="7953" max="7953" width="17.140625" style="119" customWidth="1"/>
    <col min="7954" max="8190" width="11.42578125" style="119"/>
    <col min="8191" max="8191" width="13.140625" style="119" bestFit="1" customWidth="1"/>
    <col min="8192" max="8192" width="14.85546875" style="119" bestFit="1" customWidth="1"/>
    <col min="8193" max="8193" width="12.85546875" style="119" bestFit="1" customWidth="1"/>
    <col min="8194" max="8194" width="14.5703125" style="119" bestFit="1" customWidth="1"/>
    <col min="8195" max="8195" width="11.28515625" style="119" bestFit="1" customWidth="1"/>
    <col min="8196" max="8196" width="13.7109375" style="119" customWidth="1"/>
    <col min="8197" max="8197" width="7.5703125" style="119" bestFit="1" customWidth="1"/>
    <col min="8198" max="8198" width="14.85546875" style="119" bestFit="1" customWidth="1"/>
    <col min="8199" max="8199" width="7.5703125" style="119" bestFit="1" customWidth="1"/>
    <col min="8200" max="8200" width="14.85546875" style="119" bestFit="1" customWidth="1"/>
    <col min="8201" max="8201" width="7.5703125" style="119" bestFit="1" customWidth="1"/>
    <col min="8202" max="8202" width="15.28515625" style="119" bestFit="1" customWidth="1"/>
    <col min="8203" max="8203" width="7.5703125" style="119" bestFit="1" customWidth="1"/>
    <col min="8204" max="8204" width="15.28515625" style="119" bestFit="1" customWidth="1"/>
    <col min="8205" max="8205" width="7.5703125" style="119" customWidth="1"/>
    <col min="8206" max="8206" width="15.85546875" style="119" bestFit="1" customWidth="1"/>
    <col min="8207" max="8207" width="7.5703125" style="119" bestFit="1" customWidth="1"/>
    <col min="8208" max="8208" width="14.42578125" style="119" bestFit="1" customWidth="1"/>
    <col min="8209" max="8209" width="17.140625" style="119" customWidth="1"/>
    <col min="8210" max="8446" width="11.42578125" style="119"/>
    <col min="8447" max="8447" width="13.140625" style="119" bestFit="1" customWidth="1"/>
    <col min="8448" max="8448" width="14.85546875" style="119" bestFit="1" customWidth="1"/>
    <col min="8449" max="8449" width="12.85546875" style="119" bestFit="1" customWidth="1"/>
    <col min="8450" max="8450" width="14.5703125" style="119" bestFit="1" customWidth="1"/>
    <col min="8451" max="8451" width="11.28515625" style="119" bestFit="1" customWidth="1"/>
    <col min="8452" max="8452" width="13.7109375" style="119" customWidth="1"/>
    <col min="8453" max="8453" width="7.5703125" style="119" bestFit="1" customWidth="1"/>
    <col min="8454" max="8454" width="14.85546875" style="119" bestFit="1" customWidth="1"/>
    <col min="8455" max="8455" width="7.5703125" style="119" bestFit="1" customWidth="1"/>
    <col min="8456" max="8456" width="14.85546875" style="119" bestFit="1" customWidth="1"/>
    <col min="8457" max="8457" width="7.5703125" style="119" bestFit="1" customWidth="1"/>
    <col min="8458" max="8458" width="15.28515625" style="119" bestFit="1" customWidth="1"/>
    <col min="8459" max="8459" width="7.5703125" style="119" bestFit="1" customWidth="1"/>
    <col min="8460" max="8460" width="15.28515625" style="119" bestFit="1" customWidth="1"/>
    <col min="8461" max="8461" width="7.5703125" style="119" customWidth="1"/>
    <col min="8462" max="8462" width="15.85546875" style="119" bestFit="1" customWidth="1"/>
    <col min="8463" max="8463" width="7.5703125" style="119" bestFit="1" customWidth="1"/>
    <col min="8464" max="8464" width="14.42578125" style="119" bestFit="1" customWidth="1"/>
    <col min="8465" max="8465" width="17.140625" style="119" customWidth="1"/>
    <col min="8466" max="8702" width="11.42578125" style="119"/>
    <col min="8703" max="8703" width="13.140625" style="119" bestFit="1" customWidth="1"/>
    <col min="8704" max="8704" width="14.85546875" style="119" bestFit="1" customWidth="1"/>
    <col min="8705" max="8705" width="12.85546875" style="119" bestFit="1" customWidth="1"/>
    <col min="8706" max="8706" width="14.5703125" style="119" bestFit="1" customWidth="1"/>
    <col min="8707" max="8707" width="11.28515625" style="119" bestFit="1" customWidth="1"/>
    <col min="8708" max="8708" width="13.7109375" style="119" customWidth="1"/>
    <col min="8709" max="8709" width="7.5703125" style="119" bestFit="1" customWidth="1"/>
    <col min="8710" max="8710" width="14.85546875" style="119" bestFit="1" customWidth="1"/>
    <col min="8711" max="8711" width="7.5703125" style="119" bestFit="1" customWidth="1"/>
    <col min="8712" max="8712" width="14.85546875" style="119" bestFit="1" customWidth="1"/>
    <col min="8713" max="8713" width="7.5703125" style="119" bestFit="1" customWidth="1"/>
    <col min="8714" max="8714" width="15.28515625" style="119" bestFit="1" customWidth="1"/>
    <col min="8715" max="8715" width="7.5703125" style="119" bestFit="1" customWidth="1"/>
    <col min="8716" max="8716" width="15.28515625" style="119" bestFit="1" customWidth="1"/>
    <col min="8717" max="8717" width="7.5703125" style="119" customWidth="1"/>
    <col min="8718" max="8718" width="15.85546875" style="119" bestFit="1" customWidth="1"/>
    <col min="8719" max="8719" width="7.5703125" style="119" bestFit="1" customWidth="1"/>
    <col min="8720" max="8720" width="14.42578125" style="119" bestFit="1" customWidth="1"/>
    <col min="8721" max="8721" width="17.140625" style="119" customWidth="1"/>
    <col min="8722" max="8958" width="11.42578125" style="119"/>
    <col min="8959" max="8959" width="13.140625" style="119" bestFit="1" customWidth="1"/>
    <col min="8960" max="8960" width="14.85546875" style="119" bestFit="1" customWidth="1"/>
    <col min="8961" max="8961" width="12.85546875" style="119" bestFit="1" customWidth="1"/>
    <col min="8962" max="8962" width="14.5703125" style="119" bestFit="1" customWidth="1"/>
    <col min="8963" max="8963" width="11.28515625" style="119" bestFit="1" customWidth="1"/>
    <col min="8964" max="8964" width="13.7109375" style="119" customWidth="1"/>
    <col min="8965" max="8965" width="7.5703125" style="119" bestFit="1" customWidth="1"/>
    <col min="8966" max="8966" width="14.85546875" style="119" bestFit="1" customWidth="1"/>
    <col min="8967" max="8967" width="7.5703125" style="119" bestFit="1" customWidth="1"/>
    <col min="8968" max="8968" width="14.85546875" style="119" bestFit="1" customWidth="1"/>
    <col min="8969" max="8969" width="7.5703125" style="119" bestFit="1" customWidth="1"/>
    <col min="8970" max="8970" width="15.28515625" style="119" bestFit="1" customWidth="1"/>
    <col min="8971" max="8971" width="7.5703125" style="119" bestFit="1" customWidth="1"/>
    <col min="8972" max="8972" width="15.28515625" style="119" bestFit="1" customWidth="1"/>
    <col min="8973" max="8973" width="7.5703125" style="119" customWidth="1"/>
    <col min="8974" max="8974" width="15.85546875" style="119" bestFit="1" customWidth="1"/>
    <col min="8975" max="8975" width="7.5703125" style="119" bestFit="1" customWidth="1"/>
    <col min="8976" max="8976" width="14.42578125" style="119" bestFit="1" customWidth="1"/>
    <col min="8977" max="8977" width="17.140625" style="119" customWidth="1"/>
    <col min="8978" max="9214" width="11.42578125" style="119"/>
    <col min="9215" max="9215" width="13.140625" style="119" bestFit="1" customWidth="1"/>
    <col min="9216" max="9216" width="14.85546875" style="119" bestFit="1" customWidth="1"/>
    <col min="9217" max="9217" width="12.85546875" style="119" bestFit="1" customWidth="1"/>
    <col min="9218" max="9218" width="14.5703125" style="119" bestFit="1" customWidth="1"/>
    <col min="9219" max="9219" width="11.28515625" style="119" bestFit="1" customWidth="1"/>
    <col min="9220" max="9220" width="13.7109375" style="119" customWidth="1"/>
    <col min="9221" max="9221" width="7.5703125" style="119" bestFit="1" customWidth="1"/>
    <col min="9222" max="9222" width="14.85546875" style="119" bestFit="1" customWidth="1"/>
    <col min="9223" max="9223" width="7.5703125" style="119" bestFit="1" customWidth="1"/>
    <col min="9224" max="9224" width="14.85546875" style="119" bestFit="1" customWidth="1"/>
    <col min="9225" max="9225" width="7.5703125" style="119" bestFit="1" customWidth="1"/>
    <col min="9226" max="9226" width="15.28515625" style="119" bestFit="1" customWidth="1"/>
    <col min="9227" max="9227" width="7.5703125" style="119" bestFit="1" customWidth="1"/>
    <col min="9228" max="9228" width="15.28515625" style="119" bestFit="1" customWidth="1"/>
    <col min="9229" max="9229" width="7.5703125" style="119" customWidth="1"/>
    <col min="9230" max="9230" width="15.85546875" style="119" bestFit="1" customWidth="1"/>
    <col min="9231" max="9231" width="7.5703125" style="119" bestFit="1" customWidth="1"/>
    <col min="9232" max="9232" width="14.42578125" style="119" bestFit="1" customWidth="1"/>
    <col min="9233" max="9233" width="17.140625" style="119" customWidth="1"/>
    <col min="9234" max="9470" width="11.42578125" style="119"/>
    <col min="9471" max="9471" width="13.140625" style="119" bestFit="1" customWidth="1"/>
    <col min="9472" max="9472" width="14.85546875" style="119" bestFit="1" customWidth="1"/>
    <col min="9473" max="9473" width="12.85546875" style="119" bestFit="1" customWidth="1"/>
    <col min="9474" max="9474" width="14.5703125" style="119" bestFit="1" customWidth="1"/>
    <col min="9475" max="9475" width="11.28515625" style="119" bestFit="1" customWidth="1"/>
    <col min="9476" max="9476" width="13.7109375" style="119" customWidth="1"/>
    <col min="9477" max="9477" width="7.5703125" style="119" bestFit="1" customWidth="1"/>
    <col min="9478" max="9478" width="14.85546875" style="119" bestFit="1" customWidth="1"/>
    <col min="9479" max="9479" width="7.5703125" style="119" bestFit="1" customWidth="1"/>
    <col min="9480" max="9480" width="14.85546875" style="119" bestFit="1" customWidth="1"/>
    <col min="9481" max="9481" width="7.5703125" style="119" bestFit="1" customWidth="1"/>
    <col min="9482" max="9482" width="15.28515625" style="119" bestFit="1" customWidth="1"/>
    <col min="9483" max="9483" width="7.5703125" style="119" bestFit="1" customWidth="1"/>
    <col min="9484" max="9484" width="15.28515625" style="119" bestFit="1" customWidth="1"/>
    <col min="9485" max="9485" width="7.5703125" style="119" customWidth="1"/>
    <col min="9486" max="9486" width="15.85546875" style="119" bestFit="1" customWidth="1"/>
    <col min="9487" max="9487" width="7.5703125" style="119" bestFit="1" customWidth="1"/>
    <col min="9488" max="9488" width="14.42578125" style="119" bestFit="1" customWidth="1"/>
    <col min="9489" max="9489" width="17.140625" style="119" customWidth="1"/>
    <col min="9490" max="9726" width="11.42578125" style="119"/>
    <col min="9727" max="9727" width="13.140625" style="119" bestFit="1" customWidth="1"/>
    <col min="9728" max="9728" width="14.85546875" style="119" bestFit="1" customWidth="1"/>
    <col min="9729" max="9729" width="12.85546875" style="119" bestFit="1" customWidth="1"/>
    <col min="9730" max="9730" width="14.5703125" style="119" bestFit="1" customWidth="1"/>
    <col min="9731" max="9731" width="11.28515625" style="119" bestFit="1" customWidth="1"/>
    <col min="9732" max="9732" width="13.7109375" style="119" customWidth="1"/>
    <col min="9733" max="9733" width="7.5703125" style="119" bestFit="1" customWidth="1"/>
    <col min="9734" max="9734" width="14.85546875" style="119" bestFit="1" customWidth="1"/>
    <col min="9735" max="9735" width="7.5703125" style="119" bestFit="1" customWidth="1"/>
    <col min="9736" max="9736" width="14.85546875" style="119" bestFit="1" customWidth="1"/>
    <col min="9737" max="9737" width="7.5703125" style="119" bestFit="1" customWidth="1"/>
    <col min="9738" max="9738" width="15.28515625" style="119" bestFit="1" customWidth="1"/>
    <col min="9739" max="9739" width="7.5703125" style="119" bestFit="1" customWidth="1"/>
    <col min="9740" max="9740" width="15.28515625" style="119" bestFit="1" customWidth="1"/>
    <col min="9741" max="9741" width="7.5703125" style="119" customWidth="1"/>
    <col min="9742" max="9742" width="15.85546875" style="119" bestFit="1" customWidth="1"/>
    <col min="9743" max="9743" width="7.5703125" style="119" bestFit="1" customWidth="1"/>
    <col min="9744" max="9744" width="14.42578125" style="119" bestFit="1" customWidth="1"/>
    <col min="9745" max="9745" width="17.140625" style="119" customWidth="1"/>
    <col min="9746" max="9982" width="11.42578125" style="119"/>
    <col min="9983" max="9983" width="13.140625" style="119" bestFit="1" customWidth="1"/>
    <col min="9984" max="9984" width="14.85546875" style="119" bestFit="1" customWidth="1"/>
    <col min="9985" max="9985" width="12.85546875" style="119" bestFit="1" customWidth="1"/>
    <col min="9986" max="9986" width="14.5703125" style="119" bestFit="1" customWidth="1"/>
    <col min="9987" max="9987" width="11.28515625" style="119" bestFit="1" customWidth="1"/>
    <col min="9988" max="9988" width="13.7109375" style="119" customWidth="1"/>
    <col min="9989" max="9989" width="7.5703125" style="119" bestFit="1" customWidth="1"/>
    <col min="9990" max="9990" width="14.85546875" style="119" bestFit="1" customWidth="1"/>
    <col min="9991" max="9991" width="7.5703125" style="119" bestFit="1" customWidth="1"/>
    <col min="9992" max="9992" width="14.85546875" style="119" bestFit="1" customWidth="1"/>
    <col min="9993" max="9993" width="7.5703125" style="119" bestFit="1" customWidth="1"/>
    <col min="9994" max="9994" width="15.28515625" style="119" bestFit="1" customWidth="1"/>
    <col min="9995" max="9995" width="7.5703125" style="119" bestFit="1" customWidth="1"/>
    <col min="9996" max="9996" width="15.28515625" style="119" bestFit="1" customWidth="1"/>
    <col min="9997" max="9997" width="7.5703125" style="119" customWidth="1"/>
    <col min="9998" max="9998" width="15.85546875" style="119" bestFit="1" customWidth="1"/>
    <col min="9999" max="9999" width="7.5703125" style="119" bestFit="1" customWidth="1"/>
    <col min="10000" max="10000" width="14.42578125" style="119" bestFit="1" customWidth="1"/>
    <col min="10001" max="10001" width="17.140625" style="119" customWidth="1"/>
    <col min="10002" max="10238" width="11.42578125" style="119"/>
    <col min="10239" max="10239" width="13.140625" style="119" bestFit="1" customWidth="1"/>
    <col min="10240" max="10240" width="14.85546875" style="119" bestFit="1" customWidth="1"/>
    <col min="10241" max="10241" width="12.85546875" style="119" bestFit="1" customWidth="1"/>
    <col min="10242" max="10242" width="14.5703125" style="119" bestFit="1" customWidth="1"/>
    <col min="10243" max="10243" width="11.28515625" style="119" bestFit="1" customWidth="1"/>
    <col min="10244" max="10244" width="13.7109375" style="119" customWidth="1"/>
    <col min="10245" max="10245" width="7.5703125" style="119" bestFit="1" customWidth="1"/>
    <col min="10246" max="10246" width="14.85546875" style="119" bestFit="1" customWidth="1"/>
    <col min="10247" max="10247" width="7.5703125" style="119" bestFit="1" customWidth="1"/>
    <col min="10248" max="10248" width="14.85546875" style="119" bestFit="1" customWidth="1"/>
    <col min="10249" max="10249" width="7.5703125" style="119" bestFit="1" customWidth="1"/>
    <col min="10250" max="10250" width="15.28515625" style="119" bestFit="1" customWidth="1"/>
    <col min="10251" max="10251" width="7.5703125" style="119" bestFit="1" customWidth="1"/>
    <col min="10252" max="10252" width="15.28515625" style="119" bestFit="1" customWidth="1"/>
    <col min="10253" max="10253" width="7.5703125" style="119" customWidth="1"/>
    <col min="10254" max="10254" width="15.85546875" style="119" bestFit="1" customWidth="1"/>
    <col min="10255" max="10255" width="7.5703125" style="119" bestFit="1" customWidth="1"/>
    <col min="10256" max="10256" width="14.42578125" style="119" bestFit="1" customWidth="1"/>
    <col min="10257" max="10257" width="17.140625" style="119" customWidth="1"/>
    <col min="10258" max="10494" width="11.42578125" style="119"/>
    <col min="10495" max="10495" width="13.140625" style="119" bestFit="1" customWidth="1"/>
    <col min="10496" max="10496" width="14.85546875" style="119" bestFit="1" customWidth="1"/>
    <col min="10497" max="10497" width="12.85546875" style="119" bestFit="1" customWidth="1"/>
    <col min="10498" max="10498" width="14.5703125" style="119" bestFit="1" customWidth="1"/>
    <col min="10499" max="10499" width="11.28515625" style="119" bestFit="1" customWidth="1"/>
    <col min="10500" max="10500" width="13.7109375" style="119" customWidth="1"/>
    <col min="10501" max="10501" width="7.5703125" style="119" bestFit="1" customWidth="1"/>
    <col min="10502" max="10502" width="14.85546875" style="119" bestFit="1" customWidth="1"/>
    <col min="10503" max="10503" width="7.5703125" style="119" bestFit="1" customWidth="1"/>
    <col min="10504" max="10504" width="14.85546875" style="119" bestFit="1" customWidth="1"/>
    <col min="10505" max="10505" width="7.5703125" style="119" bestFit="1" customWidth="1"/>
    <col min="10506" max="10506" width="15.28515625" style="119" bestFit="1" customWidth="1"/>
    <col min="10507" max="10507" width="7.5703125" style="119" bestFit="1" customWidth="1"/>
    <col min="10508" max="10508" width="15.28515625" style="119" bestFit="1" customWidth="1"/>
    <col min="10509" max="10509" width="7.5703125" style="119" customWidth="1"/>
    <col min="10510" max="10510" width="15.85546875" style="119" bestFit="1" customWidth="1"/>
    <col min="10511" max="10511" width="7.5703125" style="119" bestFit="1" customWidth="1"/>
    <col min="10512" max="10512" width="14.42578125" style="119" bestFit="1" customWidth="1"/>
    <col min="10513" max="10513" width="17.140625" style="119" customWidth="1"/>
    <col min="10514" max="10750" width="11.42578125" style="119"/>
    <col min="10751" max="10751" width="13.140625" style="119" bestFit="1" customWidth="1"/>
    <col min="10752" max="10752" width="14.85546875" style="119" bestFit="1" customWidth="1"/>
    <col min="10753" max="10753" width="12.85546875" style="119" bestFit="1" customWidth="1"/>
    <col min="10754" max="10754" width="14.5703125" style="119" bestFit="1" customWidth="1"/>
    <col min="10755" max="10755" width="11.28515625" style="119" bestFit="1" customWidth="1"/>
    <col min="10756" max="10756" width="13.7109375" style="119" customWidth="1"/>
    <col min="10757" max="10757" width="7.5703125" style="119" bestFit="1" customWidth="1"/>
    <col min="10758" max="10758" width="14.85546875" style="119" bestFit="1" customWidth="1"/>
    <col min="10759" max="10759" width="7.5703125" style="119" bestFit="1" customWidth="1"/>
    <col min="10760" max="10760" width="14.85546875" style="119" bestFit="1" customWidth="1"/>
    <col min="10761" max="10761" width="7.5703125" style="119" bestFit="1" customWidth="1"/>
    <col min="10762" max="10762" width="15.28515625" style="119" bestFit="1" customWidth="1"/>
    <col min="10763" max="10763" width="7.5703125" style="119" bestFit="1" customWidth="1"/>
    <col min="10764" max="10764" width="15.28515625" style="119" bestFit="1" customWidth="1"/>
    <col min="10765" max="10765" width="7.5703125" style="119" customWidth="1"/>
    <col min="10766" max="10766" width="15.85546875" style="119" bestFit="1" customWidth="1"/>
    <col min="10767" max="10767" width="7.5703125" style="119" bestFit="1" customWidth="1"/>
    <col min="10768" max="10768" width="14.42578125" style="119" bestFit="1" customWidth="1"/>
    <col min="10769" max="10769" width="17.140625" style="119" customWidth="1"/>
    <col min="10770" max="11006" width="11.42578125" style="119"/>
    <col min="11007" max="11007" width="13.140625" style="119" bestFit="1" customWidth="1"/>
    <col min="11008" max="11008" width="14.85546875" style="119" bestFit="1" customWidth="1"/>
    <col min="11009" max="11009" width="12.85546875" style="119" bestFit="1" customWidth="1"/>
    <col min="11010" max="11010" width="14.5703125" style="119" bestFit="1" customWidth="1"/>
    <col min="11011" max="11011" width="11.28515625" style="119" bestFit="1" customWidth="1"/>
    <col min="11012" max="11012" width="13.7109375" style="119" customWidth="1"/>
    <col min="11013" max="11013" width="7.5703125" style="119" bestFit="1" customWidth="1"/>
    <col min="11014" max="11014" width="14.85546875" style="119" bestFit="1" customWidth="1"/>
    <col min="11015" max="11015" width="7.5703125" style="119" bestFit="1" customWidth="1"/>
    <col min="11016" max="11016" width="14.85546875" style="119" bestFit="1" customWidth="1"/>
    <col min="11017" max="11017" width="7.5703125" style="119" bestFit="1" customWidth="1"/>
    <col min="11018" max="11018" width="15.28515625" style="119" bestFit="1" customWidth="1"/>
    <col min="11019" max="11019" width="7.5703125" style="119" bestFit="1" customWidth="1"/>
    <col min="11020" max="11020" width="15.28515625" style="119" bestFit="1" customWidth="1"/>
    <col min="11021" max="11021" width="7.5703125" style="119" customWidth="1"/>
    <col min="11022" max="11022" width="15.85546875" style="119" bestFit="1" customWidth="1"/>
    <col min="11023" max="11023" width="7.5703125" style="119" bestFit="1" customWidth="1"/>
    <col min="11024" max="11024" width="14.42578125" style="119" bestFit="1" customWidth="1"/>
    <col min="11025" max="11025" width="17.140625" style="119" customWidth="1"/>
    <col min="11026" max="11262" width="11.42578125" style="119"/>
    <col min="11263" max="11263" width="13.140625" style="119" bestFit="1" customWidth="1"/>
    <col min="11264" max="11264" width="14.85546875" style="119" bestFit="1" customWidth="1"/>
    <col min="11265" max="11265" width="12.85546875" style="119" bestFit="1" customWidth="1"/>
    <col min="11266" max="11266" width="14.5703125" style="119" bestFit="1" customWidth="1"/>
    <col min="11267" max="11267" width="11.28515625" style="119" bestFit="1" customWidth="1"/>
    <col min="11268" max="11268" width="13.7109375" style="119" customWidth="1"/>
    <col min="11269" max="11269" width="7.5703125" style="119" bestFit="1" customWidth="1"/>
    <col min="11270" max="11270" width="14.85546875" style="119" bestFit="1" customWidth="1"/>
    <col min="11271" max="11271" width="7.5703125" style="119" bestFit="1" customWidth="1"/>
    <col min="11272" max="11272" width="14.85546875" style="119" bestFit="1" customWidth="1"/>
    <col min="11273" max="11273" width="7.5703125" style="119" bestFit="1" customWidth="1"/>
    <col min="11274" max="11274" width="15.28515625" style="119" bestFit="1" customWidth="1"/>
    <col min="11275" max="11275" width="7.5703125" style="119" bestFit="1" customWidth="1"/>
    <col min="11276" max="11276" width="15.28515625" style="119" bestFit="1" customWidth="1"/>
    <col min="11277" max="11277" width="7.5703125" style="119" customWidth="1"/>
    <col min="11278" max="11278" width="15.85546875" style="119" bestFit="1" customWidth="1"/>
    <col min="11279" max="11279" width="7.5703125" style="119" bestFit="1" customWidth="1"/>
    <col min="11280" max="11280" width="14.42578125" style="119" bestFit="1" customWidth="1"/>
    <col min="11281" max="11281" width="17.140625" style="119" customWidth="1"/>
    <col min="11282" max="11518" width="11.42578125" style="119"/>
    <col min="11519" max="11519" width="13.140625" style="119" bestFit="1" customWidth="1"/>
    <col min="11520" max="11520" width="14.85546875" style="119" bestFit="1" customWidth="1"/>
    <col min="11521" max="11521" width="12.85546875" style="119" bestFit="1" customWidth="1"/>
    <col min="11522" max="11522" width="14.5703125" style="119" bestFit="1" customWidth="1"/>
    <col min="11523" max="11523" width="11.28515625" style="119" bestFit="1" customWidth="1"/>
    <col min="11524" max="11524" width="13.7109375" style="119" customWidth="1"/>
    <col min="11525" max="11525" width="7.5703125" style="119" bestFit="1" customWidth="1"/>
    <col min="11526" max="11526" width="14.85546875" style="119" bestFit="1" customWidth="1"/>
    <col min="11527" max="11527" width="7.5703125" style="119" bestFit="1" customWidth="1"/>
    <col min="11528" max="11528" width="14.85546875" style="119" bestFit="1" customWidth="1"/>
    <col min="11529" max="11529" width="7.5703125" style="119" bestFit="1" customWidth="1"/>
    <col min="11530" max="11530" width="15.28515625" style="119" bestFit="1" customWidth="1"/>
    <col min="11531" max="11531" width="7.5703125" style="119" bestFit="1" customWidth="1"/>
    <col min="11532" max="11532" width="15.28515625" style="119" bestFit="1" customWidth="1"/>
    <col min="11533" max="11533" width="7.5703125" style="119" customWidth="1"/>
    <col min="11534" max="11534" width="15.85546875" style="119" bestFit="1" customWidth="1"/>
    <col min="11535" max="11535" width="7.5703125" style="119" bestFit="1" customWidth="1"/>
    <col min="11536" max="11536" width="14.42578125" style="119" bestFit="1" customWidth="1"/>
    <col min="11537" max="11537" width="17.140625" style="119" customWidth="1"/>
    <col min="11538" max="11774" width="11.42578125" style="119"/>
    <col min="11775" max="11775" width="13.140625" style="119" bestFit="1" customWidth="1"/>
    <col min="11776" max="11776" width="14.85546875" style="119" bestFit="1" customWidth="1"/>
    <col min="11777" max="11777" width="12.85546875" style="119" bestFit="1" customWidth="1"/>
    <col min="11778" max="11778" width="14.5703125" style="119" bestFit="1" customWidth="1"/>
    <col min="11779" max="11779" width="11.28515625" style="119" bestFit="1" customWidth="1"/>
    <col min="11780" max="11780" width="13.7109375" style="119" customWidth="1"/>
    <col min="11781" max="11781" width="7.5703125" style="119" bestFit="1" customWidth="1"/>
    <col min="11782" max="11782" width="14.85546875" style="119" bestFit="1" customWidth="1"/>
    <col min="11783" max="11783" width="7.5703125" style="119" bestFit="1" customWidth="1"/>
    <col min="11784" max="11784" width="14.85546875" style="119" bestFit="1" customWidth="1"/>
    <col min="11785" max="11785" width="7.5703125" style="119" bestFit="1" customWidth="1"/>
    <col min="11786" max="11786" width="15.28515625" style="119" bestFit="1" customWidth="1"/>
    <col min="11787" max="11787" width="7.5703125" style="119" bestFit="1" customWidth="1"/>
    <col min="11788" max="11788" width="15.28515625" style="119" bestFit="1" customWidth="1"/>
    <col min="11789" max="11789" width="7.5703125" style="119" customWidth="1"/>
    <col min="11790" max="11790" width="15.85546875" style="119" bestFit="1" customWidth="1"/>
    <col min="11791" max="11791" width="7.5703125" style="119" bestFit="1" customWidth="1"/>
    <col min="11792" max="11792" width="14.42578125" style="119" bestFit="1" customWidth="1"/>
    <col min="11793" max="11793" width="17.140625" style="119" customWidth="1"/>
    <col min="11794" max="12030" width="11.42578125" style="119"/>
    <col min="12031" max="12031" width="13.140625" style="119" bestFit="1" customWidth="1"/>
    <col min="12032" max="12032" width="14.85546875" style="119" bestFit="1" customWidth="1"/>
    <col min="12033" max="12033" width="12.85546875" style="119" bestFit="1" customWidth="1"/>
    <col min="12034" max="12034" width="14.5703125" style="119" bestFit="1" customWidth="1"/>
    <col min="12035" max="12035" width="11.28515625" style="119" bestFit="1" customWidth="1"/>
    <col min="12036" max="12036" width="13.7109375" style="119" customWidth="1"/>
    <col min="12037" max="12037" width="7.5703125" style="119" bestFit="1" customWidth="1"/>
    <col min="12038" max="12038" width="14.85546875" style="119" bestFit="1" customWidth="1"/>
    <col min="12039" max="12039" width="7.5703125" style="119" bestFit="1" customWidth="1"/>
    <col min="12040" max="12040" width="14.85546875" style="119" bestFit="1" customWidth="1"/>
    <col min="12041" max="12041" width="7.5703125" style="119" bestFit="1" customWidth="1"/>
    <col min="12042" max="12042" width="15.28515625" style="119" bestFit="1" customWidth="1"/>
    <col min="12043" max="12043" width="7.5703125" style="119" bestFit="1" customWidth="1"/>
    <col min="12044" max="12044" width="15.28515625" style="119" bestFit="1" customWidth="1"/>
    <col min="12045" max="12045" width="7.5703125" style="119" customWidth="1"/>
    <col min="12046" max="12046" width="15.85546875" style="119" bestFit="1" customWidth="1"/>
    <col min="12047" max="12047" width="7.5703125" style="119" bestFit="1" customWidth="1"/>
    <col min="12048" max="12048" width="14.42578125" style="119" bestFit="1" customWidth="1"/>
    <col min="12049" max="12049" width="17.140625" style="119" customWidth="1"/>
    <col min="12050" max="12286" width="11.42578125" style="119"/>
    <col min="12287" max="12287" width="13.140625" style="119" bestFit="1" customWidth="1"/>
    <col min="12288" max="12288" width="14.85546875" style="119" bestFit="1" customWidth="1"/>
    <col min="12289" max="12289" width="12.85546875" style="119" bestFit="1" customWidth="1"/>
    <col min="12290" max="12290" width="14.5703125" style="119" bestFit="1" customWidth="1"/>
    <col min="12291" max="12291" width="11.28515625" style="119" bestFit="1" customWidth="1"/>
    <col min="12292" max="12292" width="13.7109375" style="119" customWidth="1"/>
    <col min="12293" max="12293" width="7.5703125" style="119" bestFit="1" customWidth="1"/>
    <col min="12294" max="12294" width="14.85546875" style="119" bestFit="1" customWidth="1"/>
    <col min="12295" max="12295" width="7.5703125" style="119" bestFit="1" customWidth="1"/>
    <col min="12296" max="12296" width="14.85546875" style="119" bestFit="1" customWidth="1"/>
    <col min="12297" max="12297" width="7.5703125" style="119" bestFit="1" customWidth="1"/>
    <col min="12298" max="12298" width="15.28515625" style="119" bestFit="1" customWidth="1"/>
    <col min="12299" max="12299" width="7.5703125" style="119" bestFit="1" customWidth="1"/>
    <col min="12300" max="12300" width="15.28515625" style="119" bestFit="1" customWidth="1"/>
    <col min="12301" max="12301" width="7.5703125" style="119" customWidth="1"/>
    <col min="12302" max="12302" width="15.85546875" style="119" bestFit="1" customWidth="1"/>
    <col min="12303" max="12303" width="7.5703125" style="119" bestFit="1" customWidth="1"/>
    <col min="12304" max="12304" width="14.42578125" style="119" bestFit="1" customWidth="1"/>
    <col min="12305" max="12305" width="17.140625" style="119" customWidth="1"/>
    <col min="12306" max="12542" width="11.42578125" style="119"/>
    <col min="12543" max="12543" width="13.140625" style="119" bestFit="1" customWidth="1"/>
    <col min="12544" max="12544" width="14.85546875" style="119" bestFit="1" customWidth="1"/>
    <col min="12545" max="12545" width="12.85546875" style="119" bestFit="1" customWidth="1"/>
    <col min="12546" max="12546" width="14.5703125" style="119" bestFit="1" customWidth="1"/>
    <col min="12547" max="12547" width="11.28515625" style="119" bestFit="1" customWidth="1"/>
    <col min="12548" max="12548" width="13.7109375" style="119" customWidth="1"/>
    <col min="12549" max="12549" width="7.5703125" style="119" bestFit="1" customWidth="1"/>
    <col min="12550" max="12550" width="14.85546875" style="119" bestFit="1" customWidth="1"/>
    <col min="12551" max="12551" width="7.5703125" style="119" bestFit="1" customWidth="1"/>
    <col min="12552" max="12552" width="14.85546875" style="119" bestFit="1" customWidth="1"/>
    <col min="12553" max="12553" width="7.5703125" style="119" bestFit="1" customWidth="1"/>
    <col min="12554" max="12554" width="15.28515625" style="119" bestFit="1" customWidth="1"/>
    <col min="12555" max="12555" width="7.5703125" style="119" bestFit="1" customWidth="1"/>
    <col min="12556" max="12556" width="15.28515625" style="119" bestFit="1" customWidth="1"/>
    <col min="12557" max="12557" width="7.5703125" style="119" customWidth="1"/>
    <col min="12558" max="12558" width="15.85546875" style="119" bestFit="1" customWidth="1"/>
    <col min="12559" max="12559" width="7.5703125" style="119" bestFit="1" customWidth="1"/>
    <col min="12560" max="12560" width="14.42578125" style="119" bestFit="1" customWidth="1"/>
    <col min="12561" max="12561" width="17.140625" style="119" customWidth="1"/>
    <col min="12562" max="12798" width="11.42578125" style="119"/>
    <col min="12799" max="12799" width="13.140625" style="119" bestFit="1" customWidth="1"/>
    <col min="12800" max="12800" width="14.85546875" style="119" bestFit="1" customWidth="1"/>
    <col min="12801" max="12801" width="12.85546875" style="119" bestFit="1" customWidth="1"/>
    <col min="12802" max="12802" width="14.5703125" style="119" bestFit="1" customWidth="1"/>
    <col min="12803" max="12803" width="11.28515625" style="119" bestFit="1" customWidth="1"/>
    <col min="12804" max="12804" width="13.7109375" style="119" customWidth="1"/>
    <col min="12805" max="12805" width="7.5703125" style="119" bestFit="1" customWidth="1"/>
    <col min="12806" max="12806" width="14.85546875" style="119" bestFit="1" customWidth="1"/>
    <col min="12807" max="12807" width="7.5703125" style="119" bestFit="1" customWidth="1"/>
    <col min="12808" max="12808" width="14.85546875" style="119" bestFit="1" customWidth="1"/>
    <col min="12809" max="12809" width="7.5703125" style="119" bestFit="1" customWidth="1"/>
    <col min="12810" max="12810" width="15.28515625" style="119" bestFit="1" customWidth="1"/>
    <col min="12811" max="12811" width="7.5703125" style="119" bestFit="1" customWidth="1"/>
    <col min="12812" max="12812" width="15.28515625" style="119" bestFit="1" customWidth="1"/>
    <col min="12813" max="12813" width="7.5703125" style="119" customWidth="1"/>
    <col min="12814" max="12814" width="15.85546875" style="119" bestFit="1" customWidth="1"/>
    <col min="12815" max="12815" width="7.5703125" style="119" bestFit="1" customWidth="1"/>
    <col min="12816" max="12816" width="14.42578125" style="119" bestFit="1" customWidth="1"/>
    <col min="12817" max="12817" width="17.140625" style="119" customWidth="1"/>
    <col min="12818" max="13054" width="11.42578125" style="119"/>
    <col min="13055" max="13055" width="13.140625" style="119" bestFit="1" customWidth="1"/>
    <col min="13056" max="13056" width="14.85546875" style="119" bestFit="1" customWidth="1"/>
    <col min="13057" max="13057" width="12.85546875" style="119" bestFit="1" customWidth="1"/>
    <col min="13058" max="13058" width="14.5703125" style="119" bestFit="1" customWidth="1"/>
    <col min="13059" max="13059" width="11.28515625" style="119" bestFit="1" customWidth="1"/>
    <col min="13060" max="13060" width="13.7109375" style="119" customWidth="1"/>
    <col min="13061" max="13061" width="7.5703125" style="119" bestFit="1" customWidth="1"/>
    <col min="13062" max="13062" width="14.85546875" style="119" bestFit="1" customWidth="1"/>
    <col min="13063" max="13063" width="7.5703125" style="119" bestFit="1" customWidth="1"/>
    <col min="13064" max="13064" width="14.85546875" style="119" bestFit="1" customWidth="1"/>
    <col min="13065" max="13065" width="7.5703125" style="119" bestFit="1" customWidth="1"/>
    <col min="13066" max="13066" width="15.28515625" style="119" bestFit="1" customWidth="1"/>
    <col min="13067" max="13067" width="7.5703125" style="119" bestFit="1" customWidth="1"/>
    <col min="13068" max="13068" width="15.28515625" style="119" bestFit="1" customWidth="1"/>
    <col min="13069" max="13069" width="7.5703125" style="119" customWidth="1"/>
    <col min="13070" max="13070" width="15.85546875" style="119" bestFit="1" customWidth="1"/>
    <col min="13071" max="13071" width="7.5703125" style="119" bestFit="1" customWidth="1"/>
    <col min="13072" max="13072" width="14.42578125" style="119" bestFit="1" customWidth="1"/>
    <col min="13073" max="13073" width="17.140625" style="119" customWidth="1"/>
    <col min="13074" max="13310" width="11.42578125" style="119"/>
    <col min="13311" max="13311" width="13.140625" style="119" bestFit="1" customWidth="1"/>
    <col min="13312" max="13312" width="14.85546875" style="119" bestFit="1" customWidth="1"/>
    <col min="13313" max="13313" width="12.85546875" style="119" bestFit="1" customWidth="1"/>
    <col min="13314" max="13314" width="14.5703125" style="119" bestFit="1" customWidth="1"/>
    <col min="13315" max="13315" width="11.28515625" style="119" bestFit="1" customWidth="1"/>
    <col min="13316" max="13316" width="13.7109375" style="119" customWidth="1"/>
    <col min="13317" max="13317" width="7.5703125" style="119" bestFit="1" customWidth="1"/>
    <col min="13318" max="13318" width="14.85546875" style="119" bestFit="1" customWidth="1"/>
    <col min="13319" max="13319" width="7.5703125" style="119" bestFit="1" customWidth="1"/>
    <col min="13320" max="13320" width="14.85546875" style="119" bestFit="1" customWidth="1"/>
    <col min="13321" max="13321" width="7.5703125" style="119" bestFit="1" customWidth="1"/>
    <col min="13322" max="13322" width="15.28515625" style="119" bestFit="1" customWidth="1"/>
    <col min="13323" max="13323" width="7.5703125" style="119" bestFit="1" customWidth="1"/>
    <col min="13324" max="13324" width="15.28515625" style="119" bestFit="1" customWidth="1"/>
    <col min="13325" max="13325" width="7.5703125" style="119" customWidth="1"/>
    <col min="13326" max="13326" width="15.85546875" style="119" bestFit="1" customWidth="1"/>
    <col min="13327" max="13327" width="7.5703125" style="119" bestFit="1" customWidth="1"/>
    <col min="13328" max="13328" width="14.42578125" style="119" bestFit="1" customWidth="1"/>
    <col min="13329" max="13329" width="17.140625" style="119" customWidth="1"/>
    <col min="13330" max="13566" width="11.42578125" style="119"/>
    <col min="13567" max="13567" width="13.140625" style="119" bestFit="1" customWidth="1"/>
    <col min="13568" max="13568" width="14.85546875" style="119" bestFit="1" customWidth="1"/>
    <col min="13569" max="13569" width="12.85546875" style="119" bestFit="1" customWidth="1"/>
    <col min="13570" max="13570" width="14.5703125" style="119" bestFit="1" customWidth="1"/>
    <col min="13571" max="13571" width="11.28515625" style="119" bestFit="1" customWidth="1"/>
    <col min="13572" max="13572" width="13.7109375" style="119" customWidth="1"/>
    <col min="13573" max="13573" width="7.5703125" style="119" bestFit="1" customWidth="1"/>
    <col min="13574" max="13574" width="14.85546875" style="119" bestFit="1" customWidth="1"/>
    <col min="13575" max="13575" width="7.5703125" style="119" bestFit="1" customWidth="1"/>
    <col min="13576" max="13576" width="14.85546875" style="119" bestFit="1" customWidth="1"/>
    <col min="13577" max="13577" width="7.5703125" style="119" bestFit="1" customWidth="1"/>
    <col min="13578" max="13578" width="15.28515625" style="119" bestFit="1" customWidth="1"/>
    <col min="13579" max="13579" width="7.5703125" style="119" bestFit="1" customWidth="1"/>
    <col min="13580" max="13580" width="15.28515625" style="119" bestFit="1" customWidth="1"/>
    <col min="13581" max="13581" width="7.5703125" style="119" customWidth="1"/>
    <col min="13582" max="13582" width="15.85546875" style="119" bestFit="1" customWidth="1"/>
    <col min="13583" max="13583" width="7.5703125" style="119" bestFit="1" customWidth="1"/>
    <col min="13584" max="13584" width="14.42578125" style="119" bestFit="1" customWidth="1"/>
    <col min="13585" max="13585" width="17.140625" style="119" customWidth="1"/>
    <col min="13586" max="13822" width="11.42578125" style="119"/>
    <col min="13823" max="13823" width="13.140625" style="119" bestFit="1" customWidth="1"/>
    <col min="13824" max="13824" width="14.85546875" style="119" bestFit="1" customWidth="1"/>
    <col min="13825" max="13825" width="12.85546875" style="119" bestFit="1" customWidth="1"/>
    <col min="13826" max="13826" width="14.5703125" style="119" bestFit="1" customWidth="1"/>
    <col min="13827" max="13827" width="11.28515625" style="119" bestFit="1" customWidth="1"/>
    <col min="13828" max="13828" width="13.7109375" style="119" customWidth="1"/>
    <col min="13829" max="13829" width="7.5703125" style="119" bestFit="1" customWidth="1"/>
    <col min="13830" max="13830" width="14.85546875" style="119" bestFit="1" customWidth="1"/>
    <col min="13831" max="13831" width="7.5703125" style="119" bestFit="1" customWidth="1"/>
    <col min="13832" max="13832" width="14.85546875" style="119" bestFit="1" customWidth="1"/>
    <col min="13833" max="13833" width="7.5703125" style="119" bestFit="1" customWidth="1"/>
    <col min="13834" max="13834" width="15.28515625" style="119" bestFit="1" customWidth="1"/>
    <col min="13835" max="13835" width="7.5703125" style="119" bestFit="1" customWidth="1"/>
    <col min="13836" max="13836" width="15.28515625" style="119" bestFit="1" customWidth="1"/>
    <col min="13837" max="13837" width="7.5703125" style="119" customWidth="1"/>
    <col min="13838" max="13838" width="15.85546875" style="119" bestFit="1" customWidth="1"/>
    <col min="13839" max="13839" width="7.5703125" style="119" bestFit="1" customWidth="1"/>
    <col min="13840" max="13840" width="14.42578125" style="119" bestFit="1" customWidth="1"/>
    <col min="13841" max="13841" width="17.140625" style="119" customWidth="1"/>
    <col min="13842" max="14078" width="11.42578125" style="119"/>
    <col min="14079" max="14079" width="13.140625" style="119" bestFit="1" customWidth="1"/>
    <col min="14080" max="14080" width="14.85546875" style="119" bestFit="1" customWidth="1"/>
    <col min="14081" max="14081" width="12.85546875" style="119" bestFit="1" customWidth="1"/>
    <col min="14082" max="14082" width="14.5703125" style="119" bestFit="1" customWidth="1"/>
    <col min="14083" max="14083" width="11.28515625" style="119" bestFit="1" customWidth="1"/>
    <col min="14084" max="14084" width="13.7109375" style="119" customWidth="1"/>
    <col min="14085" max="14085" width="7.5703125" style="119" bestFit="1" customWidth="1"/>
    <col min="14086" max="14086" width="14.85546875" style="119" bestFit="1" customWidth="1"/>
    <col min="14087" max="14087" width="7.5703125" style="119" bestFit="1" customWidth="1"/>
    <col min="14088" max="14088" width="14.85546875" style="119" bestFit="1" customWidth="1"/>
    <col min="14089" max="14089" width="7.5703125" style="119" bestFit="1" customWidth="1"/>
    <col min="14090" max="14090" width="15.28515625" style="119" bestFit="1" customWidth="1"/>
    <col min="14091" max="14091" width="7.5703125" style="119" bestFit="1" customWidth="1"/>
    <col min="14092" max="14092" width="15.28515625" style="119" bestFit="1" customWidth="1"/>
    <col min="14093" max="14093" width="7.5703125" style="119" customWidth="1"/>
    <col min="14094" max="14094" width="15.85546875" style="119" bestFit="1" customWidth="1"/>
    <col min="14095" max="14095" width="7.5703125" style="119" bestFit="1" customWidth="1"/>
    <col min="14096" max="14096" width="14.42578125" style="119" bestFit="1" customWidth="1"/>
    <col min="14097" max="14097" width="17.140625" style="119" customWidth="1"/>
    <col min="14098" max="14334" width="11.42578125" style="119"/>
    <col min="14335" max="14335" width="13.140625" style="119" bestFit="1" customWidth="1"/>
    <col min="14336" max="14336" width="14.85546875" style="119" bestFit="1" customWidth="1"/>
    <col min="14337" max="14337" width="12.85546875" style="119" bestFit="1" customWidth="1"/>
    <col min="14338" max="14338" width="14.5703125" style="119" bestFit="1" customWidth="1"/>
    <col min="14339" max="14339" width="11.28515625" style="119" bestFit="1" customWidth="1"/>
    <col min="14340" max="14340" width="13.7109375" style="119" customWidth="1"/>
    <col min="14341" max="14341" width="7.5703125" style="119" bestFit="1" customWidth="1"/>
    <col min="14342" max="14342" width="14.85546875" style="119" bestFit="1" customWidth="1"/>
    <col min="14343" max="14343" width="7.5703125" style="119" bestFit="1" customWidth="1"/>
    <col min="14344" max="14344" width="14.85546875" style="119" bestFit="1" customWidth="1"/>
    <col min="14345" max="14345" width="7.5703125" style="119" bestFit="1" customWidth="1"/>
    <col min="14346" max="14346" width="15.28515625" style="119" bestFit="1" customWidth="1"/>
    <col min="14347" max="14347" width="7.5703125" style="119" bestFit="1" customWidth="1"/>
    <col min="14348" max="14348" width="15.28515625" style="119" bestFit="1" customWidth="1"/>
    <col min="14349" max="14349" width="7.5703125" style="119" customWidth="1"/>
    <col min="14350" max="14350" width="15.85546875" style="119" bestFit="1" customWidth="1"/>
    <col min="14351" max="14351" width="7.5703125" style="119" bestFit="1" customWidth="1"/>
    <col min="14352" max="14352" width="14.42578125" style="119" bestFit="1" customWidth="1"/>
    <col min="14353" max="14353" width="17.140625" style="119" customWidth="1"/>
    <col min="14354" max="14590" width="11.42578125" style="119"/>
    <col min="14591" max="14591" width="13.140625" style="119" bestFit="1" customWidth="1"/>
    <col min="14592" max="14592" width="14.85546875" style="119" bestFit="1" customWidth="1"/>
    <col min="14593" max="14593" width="12.85546875" style="119" bestFit="1" customWidth="1"/>
    <col min="14594" max="14594" width="14.5703125" style="119" bestFit="1" customWidth="1"/>
    <col min="14595" max="14595" width="11.28515625" style="119" bestFit="1" customWidth="1"/>
    <col min="14596" max="14596" width="13.7109375" style="119" customWidth="1"/>
    <col min="14597" max="14597" width="7.5703125" style="119" bestFit="1" customWidth="1"/>
    <col min="14598" max="14598" width="14.85546875" style="119" bestFit="1" customWidth="1"/>
    <col min="14599" max="14599" width="7.5703125" style="119" bestFit="1" customWidth="1"/>
    <col min="14600" max="14600" width="14.85546875" style="119" bestFit="1" customWidth="1"/>
    <col min="14601" max="14601" width="7.5703125" style="119" bestFit="1" customWidth="1"/>
    <col min="14602" max="14602" width="15.28515625" style="119" bestFit="1" customWidth="1"/>
    <col min="14603" max="14603" width="7.5703125" style="119" bestFit="1" customWidth="1"/>
    <col min="14604" max="14604" width="15.28515625" style="119" bestFit="1" customWidth="1"/>
    <col min="14605" max="14605" width="7.5703125" style="119" customWidth="1"/>
    <col min="14606" max="14606" width="15.85546875" style="119" bestFit="1" customWidth="1"/>
    <col min="14607" max="14607" width="7.5703125" style="119" bestFit="1" customWidth="1"/>
    <col min="14608" max="14608" width="14.42578125" style="119" bestFit="1" customWidth="1"/>
    <col min="14609" max="14609" width="17.140625" style="119" customWidth="1"/>
    <col min="14610" max="14846" width="11.42578125" style="119"/>
    <col min="14847" max="14847" width="13.140625" style="119" bestFit="1" customWidth="1"/>
    <col min="14848" max="14848" width="14.85546875" style="119" bestFit="1" customWidth="1"/>
    <col min="14849" max="14849" width="12.85546875" style="119" bestFit="1" customWidth="1"/>
    <col min="14850" max="14850" width="14.5703125" style="119" bestFit="1" customWidth="1"/>
    <col min="14851" max="14851" width="11.28515625" style="119" bestFit="1" customWidth="1"/>
    <col min="14852" max="14852" width="13.7109375" style="119" customWidth="1"/>
    <col min="14853" max="14853" width="7.5703125" style="119" bestFit="1" customWidth="1"/>
    <col min="14854" max="14854" width="14.85546875" style="119" bestFit="1" customWidth="1"/>
    <col min="14855" max="14855" width="7.5703125" style="119" bestFit="1" customWidth="1"/>
    <col min="14856" max="14856" width="14.85546875" style="119" bestFit="1" customWidth="1"/>
    <col min="14857" max="14857" width="7.5703125" style="119" bestFit="1" customWidth="1"/>
    <col min="14858" max="14858" width="15.28515625" style="119" bestFit="1" customWidth="1"/>
    <col min="14859" max="14859" width="7.5703125" style="119" bestFit="1" customWidth="1"/>
    <col min="14860" max="14860" width="15.28515625" style="119" bestFit="1" customWidth="1"/>
    <col min="14861" max="14861" width="7.5703125" style="119" customWidth="1"/>
    <col min="14862" max="14862" width="15.85546875" style="119" bestFit="1" customWidth="1"/>
    <col min="14863" max="14863" width="7.5703125" style="119" bestFit="1" customWidth="1"/>
    <col min="14864" max="14864" width="14.42578125" style="119" bestFit="1" customWidth="1"/>
    <col min="14865" max="14865" width="17.140625" style="119" customWidth="1"/>
    <col min="14866" max="15102" width="11.42578125" style="119"/>
    <col min="15103" max="15103" width="13.140625" style="119" bestFit="1" customWidth="1"/>
    <col min="15104" max="15104" width="14.85546875" style="119" bestFit="1" customWidth="1"/>
    <col min="15105" max="15105" width="12.85546875" style="119" bestFit="1" customWidth="1"/>
    <col min="15106" max="15106" width="14.5703125" style="119" bestFit="1" customWidth="1"/>
    <col min="15107" max="15107" width="11.28515625" style="119" bestFit="1" customWidth="1"/>
    <col min="15108" max="15108" width="13.7109375" style="119" customWidth="1"/>
    <col min="15109" max="15109" width="7.5703125" style="119" bestFit="1" customWidth="1"/>
    <col min="15110" max="15110" width="14.85546875" style="119" bestFit="1" customWidth="1"/>
    <col min="15111" max="15111" width="7.5703125" style="119" bestFit="1" customWidth="1"/>
    <col min="15112" max="15112" width="14.85546875" style="119" bestFit="1" customWidth="1"/>
    <col min="15113" max="15113" width="7.5703125" style="119" bestFit="1" customWidth="1"/>
    <col min="15114" max="15114" width="15.28515625" style="119" bestFit="1" customWidth="1"/>
    <col min="15115" max="15115" width="7.5703125" style="119" bestFit="1" customWidth="1"/>
    <col min="15116" max="15116" width="15.28515625" style="119" bestFit="1" customWidth="1"/>
    <col min="15117" max="15117" width="7.5703125" style="119" customWidth="1"/>
    <col min="15118" max="15118" width="15.85546875" style="119" bestFit="1" customWidth="1"/>
    <col min="15119" max="15119" width="7.5703125" style="119" bestFit="1" customWidth="1"/>
    <col min="15120" max="15120" width="14.42578125" style="119" bestFit="1" customWidth="1"/>
    <col min="15121" max="15121" width="17.140625" style="119" customWidth="1"/>
    <col min="15122" max="15358" width="11.42578125" style="119"/>
    <col min="15359" max="15359" width="13.140625" style="119" bestFit="1" customWidth="1"/>
    <col min="15360" max="15360" width="14.85546875" style="119" bestFit="1" customWidth="1"/>
    <col min="15361" max="15361" width="12.85546875" style="119" bestFit="1" customWidth="1"/>
    <col min="15362" max="15362" width="14.5703125" style="119" bestFit="1" customWidth="1"/>
    <col min="15363" max="15363" width="11.28515625" style="119" bestFit="1" customWidth="1"/>
    <col min="15364" max="15364" width="13.7109375" style="119" customWidth="1"/>
    <col min="15365" max="15365" width="7.5703125" style="119" bestFit="1" customWidth="1"/>
    <col min="15366" max="15366" width="14.85546875" style="119" bestFit="1" customWidth="1"/>
    <col min="15367" max="15367" width="7.5703125" style="119" bestFit="1" customWidth="1"/>
    <col min="15368" max="15368" width="14.85546875" style="119" bestFit="1" customWidth="1"/>
    <col min="15369" max="15369" width="7.5703125" style="119" bestFit="1" customWidth="1"/>
    <col min="15370" max="15370" width="15.28515625" style="119" bestFit="1" customWidth="1"/>
    <col min="15371" max="15371" width="7.5703125" style="119" bestFit="1" customWidth="1"/>
    <col min="15372" max="15372" width="15.28515625" style="119" bestFit="1" customWidth="1"/>
    <col min="15373" max="15373" width="7.5703125" style="119" customWidth="1"/>
    <col min="15374" max="15374" width="15.85546875" style="119" bestFit="1" customWidth="1"/>
    <col min="15375" max="15375" width="7.5703125" style="119" bestFit="1" customWidth="1"/>
    <col min="15376" max="15376" width="14.42578125" style="119" bestFit="1" customWidth="1"/>
    <col min="15377" max="15377" width="17.140625" style="119" customWidth="1"/>
    <col min="15378" max="15614" width="11.42578125" style="119"/>
    <col min="15615" max="15615" width="13.140625" style="119" bestFit="1" customWidth="1"/>
    <col min="15616" max="15616" width="14.85546875" style="119" bestFit="1" customWidth="1"/>
    <col min="15617" max="15617" width="12.85546875" style="119" bestFit="1" customWidth="1"/>
    <col min="15618" max="15618" width="14.5703125" style="119" bestFit="1" customWidth="1"/>
    <col min="15619" max="15619" width="11.28515625" style="119" bestFit="1" customWidth="1"/>
    <col min="15620" max="15620" width="13.7109375" style="119" customWidth="1"/>
    <col min="15621" max="15621" width="7.5703125" style="119" bestFit="1" customWidth="1"/>
    <col min="15622" max="15622" width="14.85546875" style="119" bestFit="1" customWidth="1"/>
    <col min="15623" max="15623" width="7.5703125" style="119" bestFit="1" customWidth="1"/>
    <col min="15624" max="15624" width="14.85546875" style="119" bestFit="1" customWidth="1"/>
    <col min="15625" max="15625" width="7.5703125" style="119" bestFit="1" customWidth="1"/>
    <col min="15626" max="15626" width="15.28515625" style="119" bestFit="1" customWidth="1"/>
    <col min="15627" max="15627" width="7.5703125" style="119" bestFit="1" customWidth="1"/>
    <col min="15628" max="15628" width="15.28515625" style="119" bestFit="1" customWidth="1"/>
    <col min="15629" max="15629" width="7.5703125" style="119" customWidth="1"/>
    <col min="15630" max="15630" width="15.85546875" style="119" bestFit="1" customWidth="1"/>
    <col min="15631" max="15631" width="7.5703125" style="119" bestFit="1" customWidth="1"/>
    <col min="15632" max="15632" width="14.42578125" style="119" bestFit="1" customWidth="1"/>
    <col min="15633" max="15633" width="17.140625" style="119" customWidth="1"/>
    <col min="15634" max="15870" width="11.42578125" style="119"/>
    <col min="15871" max="15871" width="13.140625" style="119" bestFit="1" customWidth="1"/>
    <col min="15872" max="15872" width="14.85546875" style="119" bestFit="1" customWidth="1"/>
    <col min="15873" max="15873" width="12.85546875" style="119" bestFit="1" customWidth="1"/>
    <col min="15874" max="15874" width="14.5703125" style="119" bestFit="1" customWidth="1"/>
    <col min="15875" max="15875" width="11.28515625" style="119" bestFit="1" customWidth="1"/>
    <col min="15876" max="15876" width="13.7109375" style="119" customWidth="1"/>
    <col min="15877" max="15877" width="7.5703125" style="119" bestFit="1" customWidth="1"/>
    <col min="15878" max="15878" width="14.85546875" style="119" bestFit="1" customWidth="1"/>
    <col min="15879" max="15879" width="7.5703125" style="119" bestFit="1" customWidth="1"/>
    <col min="15880" max="15880" width="14.85546875" style="119" bestFit="1" customWidth="1"/>
    <col min="15881" max="15881" width="7.5703125" style="119" bestFit="1" customWidth="1"/>
    <col min="15882" max="15882" width="15.28515625" style="119" bestFit="1" customWidth="1"/>
    <col min="15883" max="15883" width="7.5703125" style="119" bestFit="1" customWidth="1"/>
    <col min="15884" max="15884" width="15.28515625" style="119" bestFit="1" customWidth="1"/>
    <col min="15885" max="15885" width="7.5703125" style="119" customWidth="1"/>
    <col min="15886" max="15886" width="15.85546875" style="119" bestFit="1" customWidth="1"/>
    <col min="15887" max="15887" width="7.5703125" style="119" bestFit="1" customWidth="1"/>
    <col min="15888" max="15888" width="14.42578125" style="119" bestFit="1" customWidth="1"/>
    <col min="15889" max="15889" width="17.140625" style="119" customWidth="1"/>
    <col min="15890" max="16126" width="11.42578125" style="119"/>
    <col min="16127" max="16127" width="13.140625" style="119" bestFit="1" customWidth="1"/>
    <col min="16128" max="16128" width="14.85546875" style="119" bestFit="1" customWidth="1"/>
    <col min="16129" max="16129" width="12.85546875" style="119" bestFit="1" customWidth="1"/>
    <col min="16130" max="16130" width="14.5703125" style="119" bestFit="1" customWidth="1"/>
    <col min="16131" max="16131" width="11.28515625" style="119" bestFit="1" customWidth="1"/>
    <col min="16132" max="16132" width="13.7109375" style="119" customWidth="1"/>
    <col min="16133" max="16133" width="7.5703125" style="119" bestFit="1" customWidth="1"/>
    <col min="16134" max="16134" width="14.85546875" style="119" bestFit="1" customWidth="1"/>
    <col min="16135" max="16135" width="7.5703125" style="119" bestFit="1" customWidth="1"/>
    <col min="16136" max="16136" width="14.85546875" style="119" bestFit="1" customWidth="1"/>
    <col min="16137" max="16137" width="7.5703125" style="119" bestFit="1" customWidth="1"/>
    <col min="16138" max="16138" width="15.28515625" style="119" bestFit="1" customWidth="1"/>
    <col min="16139" max="16139" width="7.5703125" style="119" bestFit="1" customWidth="1"/>
    <col min="16140" max="16140" width="15.28515625" style="119" bestFit="1" customWidth="1"/>
    <col min="16141" max="16141" width="7.5703125" style="119" customWidth="1"/>
    <col min="16142" max="16142" width="15.85546875" style="119" bestFit="1" customWidth="1"/>
    <col min="16143" max="16143" width="7.5703125" style="119" bestFit="1" customWidth="1"/>
    <col min="16144" max="16144" width="14.42578125" style="119" bestFit="1" customWidth="1"/>
    <col min="16145" max="16145" width="17.140625" style="119" customWidth="1"/>
    <col min="16146" max="16384" width="11.42578125" style="119"/>
  </cols>
  <sheetData>
    <row r="1" spans="1:17" ht="15" customHeight="1" x14ac:dyDescent="0.25">
      <c r="A1" s="217" t="s">
        <v>263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 t="s">
        <v>264</v>
      </c>
      <c r="P1" s="218"/>
      <c r="Q1" s="218"/>
    </row>
    <row r="2" spans="1:17" x14ac:dyDescent="0.2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8"/>
      <c r="Q2" s="218"/>
    </row>
    <row r="3" spans="1:17" ht="15.75" thickBot="1" x14ac:dyDescent="0.3">
      <c r="A3" s="117"/>
      <c r="M3" s="118"/>
      <c r="O3" s="118"/>
    </row>
    <row r="4" spans="1:17" ht="16.5" thickTop="1" thickBot="1" x14ac:dyDescent="0.3">
      <c r="A4" s="120">
        <v>2015</v>
      </c>
      <c r="B4" s="121" t="s">
        <v>240</v>
      </c>
      <c r="C4" s="121"/>
      <c r="D4" s="121" t="s">
        <v>241</v>
      </c>
      <c r="E4" s="121"/>
      <c r="F4" s="121" t="s">
        <v>242</v>
      </c>
      <c r="G4" s="121"/>
      <c r="H4" s="121" t="s">
        <v>243</v>
      </c>
      <c r="I4" s="121"/>
      <c r="J4" s="121" t="s">
        <v>244</v>
      </c>
      <c r="K4" s="121"/>
      <c r="L4" s="121" t="s">
        <v>245</v>
      </c>
      <c r="M4" s="121"/>
      <c r="N4" s="121" t="s">
        <v>246</v>
      </c>
      <c r="O4" s="121"/>
      <c r="P4" s="121" t="s">
        <v>247</v>
      </c>
      <c r="Q4" s="121"/>
    </row>
    <row r="5" spans="1:17" ht="6.75" customHeight="1" thickTop="1" x14ac:dyDescent="0.2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1:17" x14ac:dyDescent="0.25">
      <c r="A6" s="151" t="s">
        <v>201</v>
      </c>
      <c r="B6" s="149">
        <v>545616.63</v>
      </c>
      <c r="C6" s="152"/>
      <c r="D6" s="149">
        <v>537674.81999999995</v>
      </c>
      <c r="E6" s="152"/>
      <c r="F6" s="149">
        <v>208649.74</v>
      </c>
      <c r="G6" s="152"/>
      <c r="H6" s="149">
        <v>2781065.22</v>
      </c>
      <c r="I6" s="152"/>
      <c r="J6" s="149">
        <v>556486.51</v>
      </c>
      <c r="K6" s="152"/>
      <c r="L6" s="149">
        <v>183761.48</v>
      </c>
      <c r="M6" s="152"/>
      <c r="N6" s="149">
        <v>881156.21</v>
      </c>
      <c r="O6" s="152"/>
      <c r="P6" s="153">
        <f>B6+D6+F6+H6+J6+L6+N6</f>
        <v>5694410.6100000003</v>
      </c>
      <c r="Q6" s="152"/>
    </row>
    <row r="7" spans="1:17" x14ac:dyDescent="0.25">
      <c r="A7" s="151" t="s">
        <v>202</v>
      </c>
      <c r="B7" s="149">
        <v>982297.15</v>
      </c>
      <c r="C7" s="152"/>
      <c r="D7" s="149">
        <v>1008920.2</v>
      </c>
      <c r="E7" s="152"/>
      <c r="F7" s="149">
        <v>357012.68</v>
      </c>
      <c r="G7" s="152"/>
      <c r="H7" s="149">
        <v>2781306.75</v>
      </c>
      <c r="I7" s="152"/>
      <c r="J7" s="149">
        <v>753592.12</v>
      </c>
      <c r="K7" s="152"/>
      <c r="L7" s="149">
        <v>173564.2</v>
      </c>
      <c r="M7" s="152"/>
      <c r="N7" s="149">
        <v>674609.2</v>
      </c>
      <c r="O7" s="152"/>
      <c r="P7" s="169">
        <f t="shared" ref="P7:P17" si="0">B7+D7+F7+H7+J7+L7+N7</f>
        <v>6731302.3000000007</v>
      </c>
      <c r="Q7" s="152"/>
    </row>
    <row r="8" spans="1:17" x14ac:dyDescent="0.25">
      <c r="A8" s="151" t="s">
        <v>203</v>
      </c>
      <c r="B8" s="149">
        <v>668568.28</v>
      </c>
      <c r="C8" s="152"/>
      <c r="D8" s="149">
        <v>687319.84</v>
      </c>
      <c r="E8" s="152"/>
      <c r="F8" s="149">
        <v>230404.42</v>
      </c>
      <c r="G8" s="152"/>
      <c r="H8" s="149">
        <v>3702805.31</v>
      </c>
      <c r="I8" s="152"/>
      <c r="J8" s="149">
        <v>701694.78</v>
      </c>
      <c r="K8" s="152"/>
      <c r="L8" s="149">
        <v>224298.04</v>
      </c>
      <c r="M8" s="152"/>
      <c r="N8" s="149">
        <v>496989.92</v>
      </c>
      <c r="O8" s="152"/>
      <c r="P8" s="153">
        <f t="shared" si="0"/>
        <v>6712080.5899999999</v>
      </c>
      <c r="Q8" s="152"/>
    </row>
    <row r="9" spans="1:17" x14ac:dyDescent="0.25">
      <c r="A9" s="151" t="s">
        <v>248</v>
      </c>
      <c r="B9" s="149">
        <v>898837.88</v>
      </c>
      <c r="C9" s="152"/>
      <c r="D9" s="149">
        <v>912208.75</v>
      </c>
      <c r="E9" s="152"/>
      <c r="F9" s="149">
        <v>321106.69</v>
      </c>
      <c r="G9" s="152"/>
      <c r="H9" s="149">
        <v>3850688.96</v>
      </c>
      <c r="I9" s="152"/>
      <c r="J9" s="149">
        <v>782796.06</v>
      </c>
      <c r="K9" s="152"/>
      <c r="L9" s="149">
        <v>173192.9</v>
      </c>
      <c r="M9" s="152"/>
      <c r="N9" s="149">
        <v>437232.55</v>
      </c>
      <c r="O9" s="152"/>
      <c r="P9" s="153">
        <f t="shared" si="0"/>
        <v>7376063.79</v>
      </c>
      <c r="Q9" s="152"/>
    </row>
    <row r="10" spans="1:17" x14ac:dyDescent="0.25">
      <c r="A10" s="151" t="s">
        <v>249</v>
      </c>
      <c r="B10" s="149">
        <v>501904.36</v>
      </c>
      <c r="C10" s="152"/>
      <c r="D10" s="149">
        <v>521571.95</v>
      </c>
      <c r="E10" s="152"/>
      <c r="F10" s="149">
        <v>175927.16</v>
      </c>
      <c r="G10" s="152"/>
      <c r="H10" s="149">
        <v>2947073.47</v>
      </c>
      <c r="I10" s="152"/>
      <c r="J10" s="149">
        <v>605651.29</v>
      </c>
      <c r="K10" s="152"/>
      <c r="L10" s="149">
        <v>161496.17000000001</v>
      </c>
      <c r="M10" s="152"/>
      <c r="N10" s="149">
        <v>261580.92</v>
      </c>
      <c r="O10" s="152"/>
      <c r="P10" s="153">
        <f t="shared" si="0"/>
        <v>5175205.32</v>
      </c>
      <c r="Q10" s="152"/>
    </row>
    <row r="11" spans="1:17" x14ac:dyDescent="0.25">
      <c r="A11" s="151" t="s">
        <v>250</v>
      </c>
      <c r="B11" s="148">
        <v>953277.72</v>
      </c>
      <c r="C11" s="152"/>
      <c r="D11" s="148">
        <v>954026.18</v>
      </c>
      <c r="E11" s="152"/>
      <c r="F11" s="149">
        <v>315714.01</v>
      </c>
      <c r="G11" s="152"/>
      <c r="H11" s="149">
        <v>3926119.65</v>
      </c>
      <c r="I11" s="152"/>
      <c r="J11" s="149">
        <v>831883.15</v>
      </c>
      <c r="K11" s="152"/>
      <c r="L11" s="149">
        <v>297010.49</v>
      </c>
      <c r="M11" s="152"/>
      <c r="N11" s="149">
        <v>169792.37</v>
      </c>
      <c r="O11" s="152"/>
      <c r="P11" s="153">
        <f t="shared" si="0"/>
        <v>7447823.5700000012</v>
      </c>
      <c r="Q11" s="152"/>
    </row>
    <row r="12" spans="1:17" x14ac:dyDescent="0.25">
      <c r="A12" s="151" t="s">
        <v>251</v>
      </c>
      <c r="B12" s="148">
        <v>609902.30000000005</v>
      </c>
      <c r="C12" s="152"/>
      <c r="D12" s="149">
        <v>576701.03</v>
      </c>
      <c r="E12" s="152"/>
      <c r="F12" s="149">
        <v>180979.21</v>
      </c>
      <c r="G12" s="152"/>
      <c r="H12" s="149">
        <v>3830505.46</v>
      </c>
      <c r="I12" s="152"/>
      <c r="J12" s="149">
        <v>669923.85</v>
      </c>
      <c r="K12" s="152"/>
      <c r="L12" s="149">
        <v>249951.35</v>
      </c>
      <c r="M12" s="152"/>
      <c r="N12" s="149">
        <v>649722.46</v>
      </c>
      <c r="O12" s="152"/>
      <c r="P12" s="153">
        <f t="shared" si="0"/>
        <v>6767685.6599999992</v>
      </c>
      <c r="Q12" s="152"/>
    </row>
    <row r="13" spans="1:17" x14ac:dyDescent="0.25">
      <c r="A13" s="151" t="s">
        <v>252</v>
      </c>
      <c r="B13" s="148">
        <v>935592.79</v>
      </c>
      <c r="C13" s="152"/>
      <c r="D13" s="149">
        <v>953340.98</v>
      </c>
      <c r="E13" s="152"/>
      <c r="F13" s="149">
        <v>322502.94</v>
      </c>
      <c r="G13" s="152"/>
      <c r="H13" s="149">
        <v>3642540.85</v>
      </c>
      <c r="I13" s="152"/>
      <c r="J13" s="149">
        <v>841281.99</v>
      </c>
      <c r="K13" s="152"/>
      <c r="L13" s="149">
        <v>230613.51</v>
      </c>
      <c r="M13" s="152"/>
      <c r="N13" s="149">
        <v>272907.71999999997</v>
      </c>
      <c r="O13" s="152"/>
      <c r="P13" s="153">
        <f t="shared" si="0"/>
        <v>7198780.7800000003</v>
      </c>
      <c r="Q13" s="152"/>
    </row>
    <row r="14" spans="1:17" x14ac:dyDescent="0.25">
      <c r="A14" s="151" t="s">
        <v>253</v>
      </c>
      <c r="B14" s="149">
        <v>557677.57999999996</v>
      </c>
      <c r="C14" s="152"/>
      <c r="D14" s="149">
        <v>520536.18</v>
      </c>
      <c r="E14" s="152"/>
      <c r="F14" s="149">
        <v>170631.67999999999</v>
      </c>
      <c r="G14" s="152"/>
      <c r="H14" s="149">
        <v>3371966</v>
      </c>
      <c r="I14" s="152"/>
      <c r="J14" s="149">
        <v>624302.64</v>
      </c>
      <c r="K14" s="152"/>
      <c r="L14" s="149">
        <v>219204.73</v>
      </c>
      <c r="M14" s="152"/>
      <c r="N14" s="149">
        <v>300500.26</v>
      </c>
      <c r="O14" s="152"/>
      <c r="P14" s="153">
        <f t="shared" si="0"/>
        <v>5764819.0699999994</v>
      </c>
      <c r="Q14" s="152"/>
    </row>
    <row r="15" spans="1:17" x14ac:dyDescent="0.25">
      <c r="A15" s="151" t="s">
        <v>254</v>
      </c>
      <c r="B15" s="149">
        <v>926252.03</v>
      </c>
      <c r="C15" s="152"/>
      <c r="D15" s="149">
        <v>916415.78</v>
      </c>
      <c r="E15" s="152"/>
      <c r="F15" s="149">
        <v>312722.93</v>
      </c>
      <c r="G15" s="152"/>
      <c r="H15" s="149">
        <v>3794679.83</v>
      </c>
      <c r="I15" s="152"/>
      <c r="J15" s="149">
        <v>793777.34</v>
      </c>
      <c r="K15" s="152"/>
      <c r="L15" s="149">
        <v>201410.66</v>
      </c>
      <c r="M15" s="152"/>
      <c r="N15" s="149">
        <v>307712.09999999998</v>
      </c>
      <c r="O15" s="152"/>
      <c r="P15" s="153">
        <f t="shared" si="0"/>
        <v>7252970.6699999999</v>
      </c>
      <c r="Q15" s="152"/>
    </row>
    <row r="16" spans="1:17" x14ac:dyDescent="0.25">
      <c r="A16" s="151" t="s">
        <v>255</v>
      </c>
      <c r="B16" s="149">
        <v>548906.01</v>
      </c>
      <c r="C16" s="152"/>
      <c r="D16" s="149">
        <v>511583.07</v>
      </c>
      <c r="E16" s="152"/>
      <c r="F16" s="149">
        <v>173156.16</v>
      </c>
      <c r="G16" s="152"/>
      <c r="H16" s="149">
        <v>4019811.06</v>
      </c>
      <c r="I16" s="152"/>
      <c r="J16" s="149">
        <v>731689.5</v>
      </c>
      <c r="K16" s="152"/>
      <c r="L16" s="149">
        <v>155267.94</v>
      </c>
      <c r="M16" s="152"/>
      <c r="N16" s="149">
        <v>419072.75</v>
      </c>
      <c r="O16" s="152"/>
      <c r="P16" s="153">
        <f t="shared" si="0"/>
        <v>6559486.4900000002</v>
      </c>
      <c r="Q16" s="152"/>
    </row>
    <row r="17" spans="1:17" x14ac:dyDescent="0.25">
      <c r="A17" s="151" t="s">
        <v>256</v>
      </c>
      <c r="B17" s="148">
        <v>801815.91</v>
      </c>
      <c r="C17" s="152"/>
      <c r="D17" s="148">
        <v>801148.62</v>
      </c>
      <c r="E17" s="152"/>
      <c r="F17" s="149">
        <v>275524.31</v>
      </c>
      <c r="G17" s="152"/>
      <c r="H17" s="148">
        <v>3314487.3</v>
      </c>
      <c r="I17" s="152"/>
      <c r="J17" s="148">
        <v>713437.97</v>
      </c>
      <c r="K17" s="152"/>
      <c r="L17" s="148">
        <v>171588.46</v>
      </c>
      <c r="M17" s="152"/>
      <c r="N17" s="149">
        <v>458596.44</v>
      </c>
      <c r="O17" s="152"/>
      <c r="P17" s="153">
        <f t="shared" si="0"/>
        <v>6536599.0099999998</v>
      </c>
      <c r="Q17" s="152"/>
    </row>
    <row r="18" spans="1:17" ht="4.5" customHeight="1" x14ac:dyDescent="0.25">
      <c r="A18" s="122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  <c r="Q18" s="127"/>
    </row>
    <row r="19" spans="1:17" x14ac:dyDescent="0.25">
      <c r="A19" s="128" t="s">
        <v>247</v>
      </c>
      <c r="B19" s="129">
        <f>SUM(B6:B18)</f>
        <v>8930648.6399999987</v>
      </c>
      <c r="C19" s="130"/>
      <c r="D19" s="129">
        <f>SUM(D6:D17)</f>
        <v>8901447.4000000004</v>
      </c>
      <c r="E19" s="130"/>
      <c r="F19" s="129">
        <f>SUM(F6:F17)</f>
        <v>3044331.9300000006</v>
      </c>
      <c r="G19" s="130"/>
      <c r="H19" s="129">
        <f>SUM(H6:H18)</f>
        <v>41963049.860000007</v>
      </c>
      <c r="I19" s="130"/>
      <c r="J19" s="129">
        <f>SUM(J6:J17)</f>
        <v>8606517.1999999993</v>
      </c>
      <c r="K19" s="130"/>
      <c r="L19" s="129">
        <f>SUM(L6:L17)</f>
        <v>2441359.9300000002</v>
      </c>
      <c r="M19" s="130"/>
      <c r="N19" s="129">
        <f>SUM(N6:N17)</f>
        <v>5329872.8999999994</v>
      </c>
      <c r="O19" s="130"/>
      <c r="P19" s="129">
        <f>SUM(P6:P17)</f>
        <v>79217227.859999999</v>
      </c>
      <c r="Q19" s="130"/>
    </row>
    <row r="20" spans="1:17" ht="15.75" thickBot="1" x14ac:dyDescent="0.3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ht="16.5" thickTop="1" thickBot="1" x14ac:dyDescent="0.3">
      <c r="A21" s="120">
        <v>2016</v>
      </c>
      <c r="B21" s="121" t="s">
        <v>240</v>
      </c>
      <c r="C21" s="121"/>
      <c r="D21" s="121" t="s">
        <v>241</v>
      </c>
      <c r="E21" s="121"/>
      <c r="F21" s="121" t="s">
        <v>242</v>
      </c>
      <c r="G21" s="121"/>
      <c r="H21" s="121" t="s">
        <v>243</v>
      </c>
      <c r="I21" s="121"/>
      <c r="J21" s="121" t="s">
        <v>244</v>
      </c>
      <c r="K21" s="121"/>
      <c r="L21" s="121" t="s">
        <v>245</v>
      </c>
      <c r="M21" s="121"/>
      <c r="N21" s="121" t="s">
        <v>245</v>
      </c>
      <c r="O21" s="121"/>
      <c r="P21" s="121" t="s">
        <v>247</v>
      </c>
      <c r="Q21" s="121"/>
    </row>
    <row r="22" spans="1:17" ht="3" customHeight="1" thickTop="1" x14ac:dyDescent="0.25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</row>
    <row r="23" spans="1:17" x14ac:dyDescent="0.25">
      <c r="A23" s="150" t="s">
        <v>201</v>
      </c>
      <c r="B23" s="146">
        <v>621206.49</v>
      </c>
      <c r="C23" s="154">
        <f t="shared" ref="C23:C34" si="1">(B23/B6)-1</f>
        <v>0.13854024207436644</v>
      </c>
      <c r="D23" s="146">
        <v>626898.52</v>
      </c>
      <c r="E23" s="154">
        <f t="shared" ref="E23:E34" si="2">(D23/D6)-1</f>
        <v>0.16594360881545489</v>
      </c>
      <c r="F23" s="146">
        <v>212686.4</v>
      </c>
      <c r="G23" s="154">
        <f t="shared" ref="G23:G34" si="3">(F23/F6)-1</f>
        <v>1.934658533482958E-2</v>
      </c>
      <c r="H23" s="146">
        <v>5152422.7699999996</v>
      </c>
      <c r="I23" s="154">
        <f t="shared" ref="I23:I34" si="4">(H23/H6)-1</f>
        <v>0.85267958944163103</v>
      </c>
      <c r="J23" s="146">
        <v>919931.96</v>
      </c>
      <c r="K23" s="154">
        <f t="shared" ref="K23:K34" si="5">(J23/J6)-1</f>
        <v>0.65310738619701669</v>
      </c>
      <c r="L23" s="146">
        <v>209146.05</v>
      </c>
      <c r="M23" s="154">
        <f t="shared" ref="M23:O34" si="6">(L23/L6)-1</f>
        <v>0.13813868934882323</v>
      </c>
      <c r="N23" s="146">
        <v>1079636.22</v>
      </c>
      <c r="O23" s="154">
        <f t="shared" si="6"/>
        <v>0.22524951620099243</v>
      </c>
      <c r="P23" s="134">
        <f>B23+D23+F23+H23+J23+L23+N23</f>
        <v>8821928.4100000001</v>
      </c>
      <c r="Q23" s="154">
        <f t="shared" ref="Q23:Q34" si="7">(P23/P6)-1</f>
        <v>0.5492259013615457</v>
      </c>
    </row>
    <row r="24" spans="1:17" x14ac:dyDescent="0.25">
      <c r="A24" s="150" t="s">
        <v>202</v>
      </c>
      <c r="B24" s="146">
        <v>960656.7</v>
      </c>
      <c r="C24" s="154">
        <f t="shared" si="1"/>
        <v>-2.2030451783352945E-2</v>
      </c>
      <c r="D24" s="146">
        <v>959600.32</v>
      </c>
      <c r="E24" s="154">
        <f t="shared" si="2"/>
        <v>-4.8883826490935589E-2</v>
      </c>
      <c r="F24" s="146">
        <v>370710.85</v>
      </c>
      <c r="G24" s="154">
        <f t="shared" si="3"/>
        <v>3.8368861296466994E-2</v>
      </c>
      <c r="H24" s="146">
        <v>3353033.16</v>
      </c>
      <c r="I24" s="154">
        <f t="shared" si="4"/>
        <v>0.20556035755495161</v>
      </c>
      <c r="J24" s="146">
        <v>760829.98</v>
      </c>
      <c r="K24" s="154">
        <f t="shared" si="5"/>
        <v>9.6044794098961717E-3</v>
      </c>
      <c r="L24" s="146">
        <v>195014.98</v>
      </c>
      <c r="M24" s="154">
        <f t="shared" si="6"/>
        <v>0.12358988777639635</v>
      </c>
      <c r="N24" s="146">
        <v>686831.43</v>
      </c>
      <c r="O24" s="154">
        <f t="shared" si="6"/>
        <v>1.8117496767017238E-2</v>
      </c>
      <c r="P24" s="134">
        <f>B24+D24+F24+H24+J24+L24+N24</f>
        <v>7286677.4199999999</v>
      </c>
      <c r="Q24" s="154">
        <f t="shared" si="7"/>
        <v>8.2506340563548664E-2</v>
      </c>
    </row>
    <row r="25" spans="1:17" x14ac:dyDescent="0.25">
      <c r="A25" s="150" t="s">
        <v>203</v>
      </c>
      <c r="B25" s="146">
        <v>734234.26</v>
      </c>
      <c r="C25" s="154">
        <f t="shared" si="1"/>
        <v>9.8218808705671679E-2</v>
      </c>
      <c r="D25" s="146">
        <v>718990.94</v>
      </c>
      <c r="E25" s="154">
        <f t="shared" si="2"/>
        <v>4.6079129623262327E-2</v>
      </c>
      <c r="F25" s="146">
        <v>266724.38</v>
      </c>
      <c r="G25" s="154">
        <f t="shared" si="3"/>
        <v>0.15763569119029919</v>
      </c>
      <c r="H25" s="146">
        <v>4369835.96</v>
      </c>
      <c r="I25" s="154">
        <f t="shared" si="4"/>
        <v>0.18014197187159153</v>
      </c>
      <c r="J25" s="146">
        <v>772809.78</v>
      </c>
      <c r="K25" s="154">
        <f t="shared" si="5"/>
        <v>0.10134748330321064</v>
      </c>
      <c r="L25" s="146">
        <v>194068.08</v>
      </c>
      <c r="M25" s="154">
        <f t="shared" si="6"/>
        <v>-0.13477585448361484</v>
      </c>
      <c r="N25" s="146">
        <v>447499.89</v>
      </c>
      <c r="O25" s="154">
        <f t="shared" si="6"/>
        <v>-9.9579544792377184E-2</v>
      </c>
      <c r="P25" s="134">
        <f>B25+D25+F25+H25+J25+L25+N25</f>
        <v>7504163.29</v>
      </c>
      <c r="Q25" s="154">
        <f t="shared" si="7"/>
        <v>0.11800852051450117</v>
      </c>
    </row>
    <row r="26" spans="1:17" x14ac:dyDescent="0.25">
      <c r="A26" s="150" t="s">
        <v>248</v>
      </c>
      <c r="B26" s="146">
        <v>1119475.48</v>
      </c>
      <c r="C26" s="154">
        <f t="shared" si="1"/>
        <v>0.24546985046958625</v>
      </c>
      <c r="D26" s="146">
        <v>1155487.6499999999</v>
      </c>
      <c r="E26" s="154">
        <f t="shared" si="2"/>
        <v>0.26669213598312869</v>
      </c>
      <c r="F26" s="146">
        <v>395915.16</v>
      </c>
      <c r="G26" s="154">
        <f t="shared" si="3"/>
        <v>0.23297076121335247</v>
      </c>
      <c r="H26" s="146">
        <v>4370587.79</v>
      </c>
      <c r="I26" s="154">
        <f t="shared" si="4"/>
        <v>0.13501449621108841</v>
      </c>
      <c r="J26" s="146">
        <v>951706.43</v>
      </c>
      <c r="K26" s="154">
        <f t="shared" si="5"/>
        <v>0.21577825774953441</v>
      </c>
      <c r="L26" s="146">
        <v>236532.46</v>
      </c>
      <c r="M26" s="154">
        <f t="shared" si="6"/>
        <v>0.36571683943163946</v>
      </c>
      <c r="N26" s="146">
        <v>145002.64000000001</v>
      </c>
      <c r="O26" s="154">
        <f t="shared" si="6"/>
        <v>-0.66836265964187702</v>
      </c>
      <c r="P26" s="134">
        <f>B26+D26+F26+H26+J26+L26+N26</f>
        <v>8374707.6099999994</v>
      </c>
      <c r="Q26" s="154">
        <f t="shared" si="7"/>
        <v>0.13538980253314747</v>
      </c>
    </row>
    <row r="27" spans="1:17" x14ac:dyDescent="0.25">
      <c r="A27" s="150" t="s">
        <v>249</v>
      </c>
      <c r="B27" s="146">
        <v>665042.96</v>
      </c>
      <c r="C27" s="154">
        <f t="shared" si="1"/>
        <v>0.32503921663481861</v>
      </c>
      <c r="D27" s="146">
        <v>681698.09</v>
      </c>
      <c r="E27" s="154">
        <f t="shared" si="2"/>
        <v>0.30700680893594834</v>
      </c>
      <c r="F27" s="146">
        <v>224243.37</v>
      </c>
      <c r="G27" s="154">
        <f t="shared" si="3"/>
        <v>0.27463758296331275</v>
      </c>
      <c r="H27" s="146">
        <v>4525928.3899999997</v>
      </c>
      <c r="I27" s="154">
        <f t="shared" si="4"/>
        <v>0.53573653187546744</v>
      </c>
      <c r="J27" s="146">
        <v>758373.2</v>
      </c>
      <c r="K27" s="154">
        <f t="shared" si="5"/>
        <v>0.25216145415953783</v>
      </c>
      <c r="L27" s="146">
        <v>272523.84999999998</v>
      </c>
      <c r="M27" s="154">
        <f t="shared" si="6"/>
        <v>0.68749419877883144</v>
      </c>
      <c r="N27" s="146">
        <v>149270</v>
      </c>
      <c r="O27" s="154">
        <f t="shared" si="6"/>
        <v>-0.4293544039832875</v>
      </c>
      <c r="P27" s="134">
        <f>B27+D27+F27+H27+J27+L27+N27</f>
        <v>7277079.8599999994</v>
      </c>
      <c r="Q27" s="154">
        <f t="shared" si="7"/>
        <v>0.4061432175216575</v>
      </c>
    </row>
    <row r="28" spans="1:17" x14ac:dyDescent="0.25">
      <c r="A28" s="150" t="s">
        <v>250</v>
      </c>
      <c r="B28" s="147"/>
      <c r="C28" s="154">
        <f t="shared" si="1"/>
        <v>-1</v>
      </c>
      <c r="D28" s="147"/>
      <c r="E28" s="154">
        <f t="shared" si="2"/>
        <v>-1</v>
      </c>
      <c r="F28" s="146"/>
      <c r="G28" s="154">
        <f t="shared" si="3"/>
        <v>-1</v>
      </c>
      <c r="H28" s="146"/>
      <c r="I28" s="154">
        <f t="shared" si="4"/>
        <v>-1</v>
      </c>
      <c r="J28" s="146"/>
      <c r="K28" s="154">
        <f t="shared" si="5"/>
        <v>-1</v>
      </c>
      <c r="L28" s="146"/>
      <c r="M28" s="154">
        <f t="shared" si="6"/>
        <v>-1</v>
      </c>
      <c r="N28" s="146"/>
      <c r="O28" s="154">
        <f t="shared" si="6"/>
        <v>-1</v>
      </c>
      <c r="P28" s="134"/>
      <c r="Q28" s="154">
        <f t="shared" si="7"/>
        <v>-1</v>
      </c>
    </row>
    <row r="29" spans="1:17" x14ac:dyDescent="0.25">
      <c r="A29" s="150" t="s">
        <v>251</v>
      </c>
      <c r="B29" s="148"/>
      <c r="C29" s="154">
        <f t="shared" si="1"/>
        <v>-1</v>
      </c>
      <c r="D29" s="149"/>
      <c r="E29" s="154">
        <f t="shared" si="2"/>
        <v>-1</v>
      </c>
      <c r="F29" s="146"/>
      <c r="G29" s="154">
        <f t="shared" si="3"/>
        <v>-1</v>
      </c>
      <c r="H29" s="146"/>
      <c r="I29" s="154">
        <f t="shared" si="4"/>
        <v>-1</v>
      </c>
      <c r="J29" s="149"/>
      <c r="K29" s="154">
        <f t="shared" si="5"/>
        <v>-1</v>
      </c>
      <c r="L29" s="149"/>
      <c r="M29" s="154">
        <f t="shared" si="6"/>
        <v>-1</v>
      </c>
      <c r="N29" s="149"/>
      <c r="O29" s="154">
        <f t="shared" si="6"/>
        <v>-1</v>
      </c>
      <c r="P29" s="134"/>
      <c r="Q29" s="154">
        <f t="shared" si="7"/>
        <v>-1</v>
      </c>
    </row>
    <row r="30" spans="1:17" x14ac:dyDescent="0.25">
      <c r="A30" s="150" t="s">
        <v>252</v>
      </c>
      <c r="B30" s="147"/>
      <c r="C30" s="154">
        <f t="shared" si="1"/>
        <v>-1</v>
      </c>
      <c r="D30" s="146"/>
      <c r="E30" s="154">
        <f t="shared" si="2"/>
        <v>-1</v>
      </c>
      <c r="F30" s="146"/>
      <c r="G30" s="154">
        <f t="shared" si="3"/>
        <v>-1</v>
      </c>
      <c r="H30" s="146"/>
      <c r="I30" s="154">
        <f t="shared" si="4"/>
        <v>-1</v>
      </c>
      <c r="J30" s="146"/>
      <c r="K30" s="154">
        <f t="shared" si="5"/>
        <v>-1</v>
      </c>
      <c r="L30" s="146"/>
      <c r="M30" s="154">
        <f t="shared" si="6"/>
        <v>-1</v>
      </c>
      <c r="N30" s="146"/>
      <c r="O30" s="154">
        <f t="shared" si="6"/>
        <v>-1</v>
      </c>
      <c r="P30" s="134"/>
      <c r="Q30" s="154">
        <f t="shared" si="7"/>
        <v>-1</v>
      </c>
    </row>
    <row r="31" spans="1:17" x14ac:dyDescent="0.25">
      <c r="A31" s="150" t="s">
        <v>253</v>
      </c>
      <c r="B31" s="146"/>
      <c r="C31" s="154">
        <f t="shared" si="1"/>
        <v>-1</v>
      </c>
      <c r="D31" s="146"/>
      <c r="E31" s="154">
        <f t="shared" si="2"/>
        <v>-1</v>
      </c>
      <c r="F31" s="146"/>
      <c r="G31" s="154">
        <f t="shared" si="3"/>
        <v>-1</v>
      </c>
      <c r="H31" s="146"/>
      <c r="I31" s="154">
        <f t="shared" si="4"/>
        <v>-1</v>
      </c>
      <c r="J31" s="146"/>
      <c r="K31" s="154">
        <f t="shared" si="5"/>
        <v>-1</v>
      </c>
      <c r="L31" s="146"/>
      <c r="M31" s="154">
        <f t="shared" si="6"/>
        <v>-1</v>
      </c>
      <c r="N31" s="146"/>
      <c r="O31" s="154">
        <f t="shared" si="6"/>
        <v>-1</v>
      </c>
      <c r="P31" s="134"/>
      <c r="Q31" s="154">
        <f t="shared" si="7"/>
        <v>-1</v>
      </c>
    </row>
    <row r="32" spans="1:17" x14ac:dyDescent="0.25">
      <c r="A32" s="150" t="s">
        <v>254</v>
      </c>
      <c r="B32" s="146"/>
      <c r="C32" s="154">
        <f t="shared" si="1"/>
        <v>-1</v>
      </c>
      <c r="D32" s="146"/>
      <c r="E32" s="154">
        <f t="shared" si="2"/>
        <v>-1</v>
      </c>
      <c r="F32" s="146"/>
      <c r="G32" s="154">
        <f t="shared" si="3"/>
        <v>-1</v>
      </c>
      <c r="H32" s="146"/>
      <c r="I32" s="154">
        <f t="shared" si="4"/>
        <v>-1</v>
      </c>
      <c r="J32" s="146"/>
      <c r="K32" s="154">
        <f t="shared" si="5"/>
        <v>-1</v>
      </c>
      <c r="L32" s="146"/>
      <c r="M32" s="154">
        <f t="shared" si="6"/>
        <v>-1</v>
      </c>
      <c r="N32" s="146"/>
      <c r="O32" s="154">
        <f t="shared" si="6"/>
        <v>-1</v>
      </c>
      <c r="P32" s="134"/>
      <c r="Q32" s="154">
        <f t="shared" si="7"/>
        <v>-1</v>
      </c>
    </row>
    <row r="33" spans="1:17" x14ac:dyDescent="0.25">
      <c r="A33" s="150" t="s">
        <v>255</v>
      </c>
      <c r="B33" s="146"/>
      <c r="C33" s="154">
        <f t="shared" si="1"/>
        <v>-1</v>
      </c>
      <c r="D33" s="146"/>
      <c r="E33" s="154">
        <f t="shared" si="2"/>
        <v>-1</v>
      </c>
      <c r="F33" s="146"/>
      <c r="G33" s="154">
        <f t="shared" si="3"/>
        <v>-1</v>
      </c>
      <c r="H33" s="146"/>
      <c r="I33" s="154">
        <f t="shared" si="4"/>
        <v>-1</v>
      </c>
      <c r="J33" s="146"/>
      <c r="K33" s="154">
        <f t="shared" si="5"/>
        <v>-1</v>
      </c>
      <c r="L33" s="146"/>
      <c r="M33" s="154">
        <f t="shared" si="6"/>
        <v>-1</v>
      </c>
      <c r="N33" s="146"/>
      <c r="O33" s="154">
        <f t="shared" si="6"/>
        <v>-1</v>
      </c>
      <c r="P33" s="134"/>
      <c r="Q33" s="154">
        <f t="shared" si="7"/>
        <v>-1</v>
      </c>
    </row>
    <row r="34" spans="1:17" x14ac:dyDescent="0.25">
      <c r="A34" s="150" t="s">
        <v>256</v>
      </c>
      <c r="B34" s="147"/>
      <c r="C34" s="154">
        <f t="shared" si="1"/>
        <v>-1</v>
      </c>
      <c r="D34" s="147"/>
      <c r="E34" s="154">
        <f t="shared" si="2"/>
        <v>-1</v>
      </c>
      <c r="F34" s="146"/>
      <c r="G34" s="154">
        <f t="shared" si="3"/>
        <v>-1</v>
      </c>
      <c r="H34" s="147"/>
      <c r="I34" s="154">
        <f t="shared" si="4"/>
        <v>-1</v>
      </c>
      <c r="J34" s="147"/>
      <c r="K34" s="154">
        <f t="shared" si="5"/>
        <v>-1</v>
      </c>
      <c r="L34" s="147"/>
      <c r="M34" s="154">
        <f t="shared" si="6"/>
        <v>-1</v>
      </c>
      <c r="N34" s="147"/>
      <c r="O34" s="154">
        <f t="shared" si="6"/>
        <v>-1</v>
      </c>
      <c r="P34" s="134"/>
      <c r="Q34" s="154">
        <f t="shared" si="7"/>
        <v>-1</v>
      </c>
    </row>
    <row r="35" spans="1:17" x14ac:dyDescent="0.25">
      <c r="A35" s="122"/>
      <c r="B35" s="125"/>
      <c r="C35" s="155"/>
      <c r="D35" s="125"/>
      <c r="E35" s="155"/>
      <c r="F35" s="125"/>
      <c r="G35" s="155"/>
      <c r="H35" s="125"/>
      <c r="I35" s="155"/>
      <c r="J35" s="125"/>
      <c r="K35" s="155"/>
      <c r="L35" s="125"/>
      <c r="M35" s="155"/>
      <c r="N35" s="125"/>
      <c r="O35" s="155"/>
      <c r="P35" s="126"/>
      <c r="Q35" s="159"/>
    </row>
    <row r="36" spans="1:17" x14ac:dyDescent="0.25">
      <c r="A36" s="133" t="s">
        <v>247</v>
      </c>
      <c r="B36" s="134">
        <f>SUM(B23:B34)</f>
        <v>4100615.89</v>
      </c>
      <c r="C36" s="156"/>
      <c r="D36" s="134">
        <f>SUM(D23:D34)</f>
        <v>4142675.5199999996</v>
      </c>
      <c r="E36" s="156"/>
      <c r="F36" s="134">
        <f>SUM(F23:F34)</f>
        <v>1470280.1600000001</v>
      </c>
      <c r="G36" s="156"/>
      <c r="H36" s="134">
        <f>SUM(H23:H35)</f>
        <v>21771808.07</v>
      </c>
      <c r="I36" s="156"/>
      <c r="J36" s="134">
        <f>SUM(J23:J34)</f>
        <v>4163651.3499999996</v>
      </c>
      <c r="K36" s="156"/>
      <c r="L36" s="134">
        <f>SUM(L23:L34)</f>
        <v>1107285.42</v>
      </c>
      <c r="M36" s="156"/>
      <c r="N36" s="134">
        <f>SUM(N23:N34)</f>
        <v>2508240.1800000002</v>
      </c>
      <c r="O36" s="156"/>
      <c r="P36" s="134">
        <f>SUM(P23:P34)</f>
        <v>39264556.590000004</v>
      </c>
      <c r="Q36" s="156"/>
    </row>
    <row r="37" spans="1:17" x14ac:dyDescent="0.25">
      <c r="A37" s="133" t="s">
        <v>257</v>
      </c>
      <c r="B37" s="134">
        <f>B36/$D$42</f>
        <v>820123.17800000007</v>
      </c>
      <c r="C37" s="157"/>
      <c r="D37" s="134">
        <f>D36/$D$42</f>
        <v>828535.10399999993</v>
      </c>
      <c r="E37" s="157"/>
      <c r="F37" s="134">
        <f>F36/$D$42</f>
        <v>294056.03200000001</v>
      </c>
      <c r="G37" s="157"/>
      <c r="H37" s="134">
        <f>H36/$D$42</f>
        <v>4354361.6140000001</v>
      </c>
      <c r="I37" s="157"/>
      <c r="J37" s="134">
        <f>J36/$D$42</f>
        <v>832730.2699999999</v>
      </c>
      <c r="K37" s="157"/>
      <c r="L37" s="134">
        <f>L36/$D$42</f>
        <v>221457.08399999997</v>
      </c>
      <c r="M37" s="157"/>
      <c r="N37" s="134">
        <f>N36/$D$42</f>
        <v>501648.03600000002</v>
      </c>
      <c r="O37" s="157"/>
      <c r="P37" s="134">
        <f>P36/$D$42</f>
        <v>7852911.3180000009</v>
      </c>
      <c r="Q37" s="157"/>
    </row>
    <row r="38" spans="1:17" x14ac:dyDescent="0.25">
      <c r="A38" s="135" t="s">
        <v>258</v>
      </c>
      <c r="B38" s="136">
        <f>SUM(B6:B10)</f>
        <v>3597224.3</v>
      </c>
      <c r="C38" s="158"/>
      <c r="D38" s="136">
        <f>SUM(D6:D10)</f>
        <v>3667695.56</v>
      </c>
      <c r="E38" s="158"/>
      <c r="F38" s="136">
        <f>SUM(F6:F10)</f>
        <v>1293100.69</v>
      </c>
      <c r="G38" s="158"/>
      <c r="H38" s="136">
        <f>SUM(H6:H10)</f>
        <v>16062939.710000003</v>
      </c>
      <c r="I38" s="158"/>
      <c r="J38" s="136">
        <f>SUM(J6:J10)</f>
        <v>3400220.76</v>
      </c>
      <c r="K38" s="158"/>
      <c r="L38" s="136">
        <f>SUM(L6:L10)</f>
        <v>916312.79000000015</v>
      </c>
      <c r="M38" s="158"/>
      <c r="N38" s="136">
        <f>SUM(N6:N10)</f>
        <v>2751568.8</v>
      </c>
      <c r="O38" s="158"/>
      <c r="P38" s="136">
        <f>SUM(P6:P10)</f>
        <v>31689062.609999999</v>
      </c>
      <c r="Q38" s="158"/>
    </row>
    <row r="39" spans="1:17" x14ac:dyDescent="0.25">
      <c r="A39" s="133" t="s">
        <v>259</v>
      </c>
      <c r="B39" s="136">
        <f>B36-B38</f>
        <v>503391.59000000032</v>
      </c>
      <c r="C39" s="154">
        <f>(B36/B38)-1</f>
        <v>0.13993889399668524</v>
      </c>
      <c r="D39" s="136">
        <f>D36-D38</f>
        <v>474979.9599999995</v>
      </c>
      <c r="E39" s="154">
        <f>(D36/D38)-1</f>
        <v>0.12950364942503567</v>
      </c>
      <c r="F39" s="136">
        <f>F36-F38</f>
        <v>177179.4700000002</v>
      </c>
      <c r="G39" s="154">
        <f>(F36/F38)-1</f>
        <v>0.13701908240417082</v>
      </c>
      <c r="H39" s="136">
        <f>H36-H38</f>
        <v>5708868.3599999975</v>
      </c>
      <c r="I39" s="154">
        <f>(H36/H38)-1</f>
        <v>0.35540619980326116</v>
      </c>
      <c r="J39" s="136">
        <f>J36-J38</f>
        <v>763430.58999999985</v>
      </c>
      <c r="K39" s="154">
        <f>(J36/J38)-1</f>
        <v>0.22452383062327996</v>
      </c>
      <c r="L39" s="136">
        <f>L36-L38</f>
        <v>190972.62999999977</v>
      </c>
      <c r="M39" s="154">
        <f>(L36/L38)-1</f>
        <v>0.20841423592919583</v>
      </c>
      <c r="N39" s="136">
        <f>N36-N38</f>
        <v>-243328.61999999965</v>
      </c>
      <c r="O39" s="154">
        <f>(N36/N38)-1</f>
        <v>-8.843268610982935E-2</v>
      </c>
      <c r="P39" s="136">
        <f>P36-P38</f>
        <v>7575493.9800000042</v>
      </c>
      <c r="Q39" s="154">
        <f>(P36/P38)-1</f>
        <v>0.23905705489721352</v>
      </c>
    </row>
    <row r="40" spans="1:17" ht="15.75" thickBot="1" x14ac:dyDescent="0.3">
      <c r="A40" s="137" t="s">
        <v>260</v>
      </c>
      <c r="B40" s="138">
        <f>B37*12</f>
        <v>9841478.1359999999</v>
      </c>
      <c r="C40" s="138"/>
      <c r="D40" s="138">
        <f>D37*12</f>
        <v>9942421.2479999997</v>
      </c>
      <c r="E40" s="138"/>
      <c r="F40" s="138">
        <f>F37*12</f>
        <v>3528672.3840000001</v>
      </c>
      <c r="G40" s="138"/>
      <c r="H40" s="138">
        <f>H37*12</f>
        <v>52252339.368000001</v>
      </c>
      <c r="I40" s="138"/>
      <c r="J40" s="138">
        <f>J37*12</f>
        <v>9992763.2399999984</v>
      </c>
      <c r="K40" s="138"/>
      <c r="L40" s="138">
        <f>L37*12</f>
        <v>2657485.0079999994</v>
      </c>
      <c r="M40" s="138"/>
      <c r="N40" s="138">
        <f>N37*12</f>
        <v>6019776.432</v>
      </c>
      <c r="O40" s="138"/>
      <c r="P40" s="138">
        <f>P37*12</f>
        <v>94234935.816000015</v>
      </c>
      <c r="Q40" s="138"/>
    </row>
    <row r="41" spans="1:17" ht="15.75" thickTop="1" x14ac:dyDescent="0.25">
      <c r="M41" s="118"/>
      <c r="O41" s="118"/>
    </row>
    <row r="42" spans="1:17" x14ac:dyDescent="0.25">
      <c r="A42" s="216" t="s">
        <v>261</v>
      </c>
      <c r="B42" s="216"/>
      <c r="C42" s="139"/>
      <c r="D42" s="140">
        <v>5</v>
      </c>
      <c r="E42" s="141"/>
      <c r="F42" s="117"/>
      <c r="G42" s="141"/>
      <c r="H42" s="142"/>
      <c r="I42" s="143"/>
      <c r="L42" s="142"/>
      <c r="M42" s="144"/>
      <c r="N42" s="142"/>
      <c r="O42" s="144"/>
    </row>
    <row r="44" spans="1:17" x14ac:dyDescent="0.25">
      <c r="B44" s="118" t="s">
        <v>265</v>
      </c>
      <c r="C44" s="118" t="s">
        <v>266</v>
      </c>
      <c r="H44" s="145"/>
    </row>
    <row r="45" spans="1:17" x14ac:dyDescent="0.25">
      <c r="A45" s="160" t="str">
        <f>+A6</f>
        <v>Enero</v>
      </c>
      <c r="B45" s="161">
        <f>+P6</f>
        <v>5694410.6100000003</v>
      </c>
      <c r="C45" s="161">
        <f>+P23</f>
        <v>8821928.4100000001</v>
      </c>
    </row>
    <row r="46" spans="1:17" x14ac:dyDescent="0.25">
      <c r="A46" s="160" t="str">
        <f t="shared" ref="A46:A49" si="8">+A7</f>
        <v>Febrero</v>
      </c>
      <c r="B46" s="161">
        <f t="shared" ref="B46:B49" si="9">+P7</f>
        <v>6731302.3000000007</v>
      </c>
      <c r="C46" s="161">
        <f t="shared" ref="C46:C49" si="10">+P24</f>
        <v>7286677.4199999999</v>
      </c>
    </row>
    <row r="47" spans="1:17" x14ac:dyDescent="0.25">
      <c r="A47" s="160" t="str">
        <f t="shared" si="8"/>
        <v>Marzo</v>
      </c>
      <c r="B47" s="161">
        <f t="shared" si="9"/>
        <v>6712080.5899999999</v>
      </c>
      <c r="C47" s="161">
        <f t="shared" si="10"/>
        <v>7504163.29</v>
      </c>
    </row>
    <row r="48" spans="1:17" x14ac:dyDescent="0.25">
      <c r="A48" s="160" t="str">
        <f t="shared" si="8"/>
        <v>Abril</v>
      </c>
      <c r="B48" s="161">
        <f t="shared" si="9"/>
        <v>7376063.79</v>
      </c>
      <c r="C48" s="161">
        <f t="shared" si="10"/>
        <v>8374707.6099999994</v>
      </c>
    </row>
    <row r="49" spans="1:3" x14ac:dyDescent="0.25">
      <c r="A49" s="160" t="str">
        <f t="shared" si="8"/>
        <v>Mayo</v>
      </c>
      <c r="B49" s="161">
        <f t="shared" si="9"/>
        <v>5175205.32</v>
      </c>
      <c r="C49" s="161">
        <f t="shared" si="10"/>
        <v>7277079.8599999994</v>
      </c>
    </row>
    <row r="50" spans="1:3" x14ac:dyDescent="0.25">
      <c r="A50" s="160"/>
      <c r="B50" s="161"/>
    </row>
    <row r="51" spans="1:3" x14ac:dyDescent="0.25">
      <c r="A51" s="160"/>
    </row>
  </sheetData>
  <sheetProtection sheet="1" objects="1" scenarios="1"/>
  <mergeCells count="3">
    <mergeCell ref="A42:B42"/>
    <mergeCell ref="A1:N2"/>
    <mergeCell ref="O1:Q2"/>
  </mergeCells>
  <hyperlinks>
    <hyperlink ref="O1:Q2" location="INDICE!A1" display="Volver al inicio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zoomScale="80" zoomScaleNormal="80" workbookViewId="0">
      <selection activeCell="O1" sqref="O1"/>
    </sheetView>
  </sheetViews>
  <sheetFormatPr defaultColWidth="9.140625" defaultRowHeight="15" x14ac:dyDescent="0.25"/>
  <cols>
    <col min="1" max="1" width="48.140625" customWidth="1"/>
    <col min="2" max="7" width="17.28515625" customWidth="1"/>
    <col min="8" max="13" width="4.28515625" hidden="1" customWidth="1"/>
    <col min="14" max="14" width="20.85546875" style="197" customWidth="1"/>
    <col min="15" max="20" width="20.85546875" customWidth="1"/>
    <col min="21" max="21" width="12.5703125" customWidth="1"/>
    <col min="22" max="22" width="16.5703125" bestFit="1" customWidth="1"/>
    <col min="23" max="23" width="13.85546875" bestFit="1" customWidth="1"/>
    <col min="24" max="24" width="16.5703125" bestFit="1" customWidth="1"/>
    <col min="25" max="25" width="13.85546875" bestFit="1" customWidth="1"/>
    <col min="26" max="26" width="16.5703125" bestFit="1" customWidth="1"/>
    <col min="27" max="27" width="13.85546875" bestFit="1" customWidth="1"/>
    <col min="28" max="28" width="16.5703125" bestFit="1" customWidth="1"/>
    <col min="29" max="29" width="13.85546875" bestFit="1" customWidth="1"/>
    <col min="30" max="30" width="16.5703125" bestFit="1" customWidth="1"/>
    <col min="31" max="31" width="13.85546875" bestFit="1" customWidth="1"/>
    <col min="32" max="32" width="16.5703125" bestFit="1" customWidth="1"/>
    <col min="33" max="33" width="13.85546875" bestFit="1" customWidth="1"/>
    <col min="34" max="34" width="16.5703125" bestFit="1" customWidth="1"/>
    <col min="35" max="35" width="12.85546875" bestFit="1" customWidth="1"/>
    <col min="36" max="36" width="15.42578125" bestFit="1" customWidth="1"/>
    <col min="37" max="37" width="13.85546875" bestFit="1" customWidth="1"/>
    <col min="38" max="38" width="16.5703125" bestFit="1" customWidth="1"/>
    <col min="39" max="39" width="12.85546875" bestFit="1" customWidth="1"/>
    <col min="40" max="40" width="15.85546875" bestFit="1" customWidth="1"/>
    <col min="41" max="41" width="12.5703125" bestFit="1" customWidth="1"/>
  </cols>
  <sheetData>
    <row r="1" spans="1:15" ht="28.5" x14ac:dyDescent="0.35">
      <c r="A1" s="177" t="s">
        <v>278</v>
      </c>
      <c r="B1" s="178"/>
      <c r="C1" s="179"/>
      <c r="D1" s="179"/>
      <c r="E1" s="179"/>
      <c r="F1" s="179"/>
      <c r="G1" s="179"/>
      <c r="L1" s="180" t="s">
        <v>271</v>
      </c>
      <c r="O1" s="180" t="s">
        <v>279</v>
      </c>
    </row>
    <row r="2" spans="1:15" ht="34.5" x14ac:dyDescent="0.25">
      <c r="B2" s="176" t="s">
        <v>69</v>
      </c>
      <c r="C2" s="175" t="s">
        <v>70</v>
      </c>
      <c r="D2" s="176" t="s">
        <v>71</v>
      </c>
      <c r="E2" s="175" t="s">
        <v>73</v>
      </c>
      <c r="F2" s="176" t="s">
        <v>74</v>
      </c>
      <c r="G2" s="175" t="s">
        <v>75</v>
      </c>
      <c r="H2" s="176" t="s">
        <v>76</v>
      </c>
      <c r="I2" s="175" t="s">
        <v>77</v>
      </c>
      <c r="J2" s="176" t="s">
        <v>269</v>
      </c>
      <c r="K2" s="175" t="s">
        <v>79</v>
      </c>
      <c r="L2" s="176" t="s">
        <v>80</v>
      </c>
      <c r="M2" s="175" t="s">
        <v>81</v>
      </c>
      <c r="N2" s="284" t="s">
        <v>285</v>
      </c>
    </row>
    <row r="3" spans="1:15" x14ac:dyDescent="0.25">
      <c r="A3" s="49" t="s">
        <v>4</v>
      </c>
      <c r="B3" s="51">
        <f>+B4+B7</f>
        <v>23744081.470000003</v>
      </c>
      <c r="C3" s="51">
        <f t="shared" ref="C3:M3" si="0">+C4+C7</f>
        <v>18785567.229999997</v>
      </c>
      <c r="D3" s="51">
        <f t="shared" si="0"/>
        <v>19061741.100000001</v>
      </c>
      <c r="E3" s="51">
        <f t="shared" si="0"/>
        <v>25744004.940000001</v>
      </c>
      <c r="F3" s="51">
        <f t="shared" si="0"/>
        <v>21269840.149999999</v>
      </c>
      <c r="G3" s="51">
        <f t="shared" si="0"/>
        <v>24085912.020000003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198">
        <f>SUM(B3:M3)</f>
        <v>132691146.91000003</v>
      </c>
    </row>
    <row r="4" spans="1:15" x14ac:dyDescent="0.25">
      <c r="A4" t="s">
        <v>151</v>
      </c>
      <c r="B4" s="53">
        <f>SUM(B5:B6)</f>
        <v>10304253.540000001</v>
      </c>
      <c r="C4" s="53">
        <f t="shared" ref="C4:M4" si="1">SUM(C5:C6)</f>
        <v>8960406.5599999987</v>
      </c>
      <c r="D4" s="53">
        <f t="shared" si="1"/>
        <v>9591713.6400000006</v>
      </c>
      <c r="E4" s="53">
        <f t="shared" si="1"/>
        <v>10721056.949999999</v>
      </c>
      <c r="F4" s="53">
        <f t="shared" si="1"/>
        <v>10290175.27</v>
      </c>
      <c r="G4" s="53">
        <f t="shared" si="1"/>
        <v>11454018.950000001</v>
      </c>
      <c r="H4" s="53">
        <f t="shared" si="1"/>
        <v>0</v>
      </c>
      <c r="I4" s="53">
        <f t="shared" si="1"/>
        <v>0</v>
      </c>
      <c r="J4" s="53">
        <f t="shared" si="1"/>
        <v>0</v>
      </c>
      <c r="K4" s="53">
        <f t="shared" si="1"/>
        <v>0</v>
      </c>
      <c r="L4" s="53">
        <f t="shared" si="1"/>
        <v>0</v>
      </c>
      <c r="M4" s="53">
        <f t="shared" si="1"/>
        <v>0</v>
      </c>
      <c r="N4" s="199">
        <f t="shared" ref="N4:N31" si="2">SUM(B4:M4)</f>
        <v>61321624.909999996</v>
      </c>
    </row>
    <row r="5" spans="1:15" x14ac:dyDescent="0.25">
      <c r="A5" t="s">
        <v>152</v>
      </c>
      <c r="B5" s="53">
        <f>+CALCULODERECURSOS!C10</f>
        <v>8921307.3000000007</v>
      </c>
      <c r="C5" s="53">
        <f>+CALCULODERECURSOS!D10</f>
        <v>7665040.5599999996</v>
      </c>
      <c r="D5" s="53">
        <f>+CALCULODERECURSOS!E10</f>
        <v>8618451.4299999997</v>
      </c>
      <c r="E5" s="53">
        <f>+CALCULODERECURSOS!F10</f>
        <v>9789508.1499999985</v>
      </c>
      <c r="F5" s="53">
        <f>+CALCULODERECURSOS!G10</f>
        <v>8906861.8399999999</v>
      </c>
      <c r="G5" s="53">
        <f>+CALCULODERECURSOS!H10</f>
        <v>10183062.030000001</v>
      </c>
      <c r="H5" s="53">
        <f>+CALCULODERECURSOS!I10</f>
        <v>0</v>
      </c>
      <c r="I5" s="53">
        <f>+CALCULODERECURSOS!J10</f>
        <v>0</v>
      </c>
      <c r="J5" s="53">
        <f>+CALCULODERECURSOS!K10</f>
        <v>0</v>
      </c>
      <c r="K5" s="53">
        <f>+CALCULODERECURSOS!L10</f>
        <v>0</v>
      </c>
      <c r="L5" s="53">
        <f>+CALCULODERECURSOS!M10</f>
        <v>0</v>
      </c>
      <c r="M5" s="53">
        <f>+CALCULODERECURSOS!N10</f>
        <v>0</v>
      </c>
      <c r="N5" s="199">
        <f t="shared" si="2"/>
        <v>54084231.310000002</v>
      </c>
    </row>
    <row r="6" spans="1:15" x14ac:dyDescent="0.25">
      <c r="A6" t="s">
        <v>153</v>
      </c>
      <c r="B6" s="53">
        <f>+CALCULODERECURSOS!C37</f>
        <v>1382946.24</v>
      </c>
      <c r="C6" s="53">
        <f>+CALCULODERECURSOS!D37</f>
        <v>1295366</v>
      </c>
      <c r="D6" s="53">
        <f>+CALCULODERECURSOS!E37</f>
        <v>973262.21000000008</v>
      </c>
      <c r="E6" s="53">
        <f>+CALCULODERECURSOS!F37</f>
        <v>931548.79999999993</v>
      </c>
      <c r="F6" s="53">
        <f>+CALCULODERECURSOS!G37</f>
        <v>1383313.4300000002</v>
      </c>
      <c r="G6" s="53">
        <f>+CALCULODERECURSOS!H37</f>
        <v>1270956.9200000002</v>
      </c>
      <c r="H6" s="53">
        <f>+CALCULODERECURSOS!I37</f>
        <v>0</v>
      </c>
      <c r="I6" s="53">
        <f>+CALCULODERECURSOS!J37</f>
        <v>0</v>
      </c>
      <c r="J6" s="53">
        <f>+CALCULODERECURSOS!K37</f>
        <v>0</v>
      </c>
      <c r="K6" s="53">
        <f>+CALCULODERECURSOS!L37</f>
        <v>0</v>
      </c>
      <c r="L6" s="53">
        <f>+CALCULODERECURSOS!M37</f>
        <v>0</v>
      </c>
      <c r="M6" s="53">
        <f>+CALCULODERECURSOS!N37</f>
        <v>0</v>
      </c>
      <c r="N6" s="199">
        <f t="shared" si="2"/>
        <v>7237393.5999999996</v>
      </c>
    </row>
    <row r="7" spans="1:15" x14ac:dyDescent="0.25">
      <c r="A7" s="179" t="s">
        <v>154</v>
      </c>
      <c r="B7" s="186">
        <f>SUM(B8:B9)</f>
        <v>13439827.930000002</v>
      </c>
      <c r="C7" s="186">
        <f t="shared" ref="C7:M7" si="3">SUM(C8:C9)</f>
        <v>9825160.6699999999</v>
      </c>
      <c r="D7" s="186">
        <f t="shared" si="3"/>
        <v>9470027.4600000009</v>
      </c>
      <c r="E7" s="186">
        <f t="shared" si="3"/>
        <v>15022947.990000002</v>
      </c>
      <c r="F7" s="186">
        <f t="shared" si="3"/>
        <v>10979664.880000001</v>
      </c>
      <c r="G7" s="186">
        <f t="shared" si="3"/>
        <v>12631893.07</v>
      </c>
      <c r="H7" s="186">
        <f t="shared" si="3"/>
        <v>0</v>
      </c>
      <c r="I7" s="186">
        <f t="shared" si="3"/>
        <v>0</v>
      </c>
      <c r="J7" s="186">
        <f t="shared" si="3"/>
        <v>0</v>
      </c>
      <c r="K7" s="186">
        <f t="shared" si="3"/>
        <v>0</v>
      </c>
      <c r="L7" s="186">
        <f t="shared" si="3"/>
        <v>0</v>
      </c>
      <c r="M7" s="186">
        <f t="shared" si="3"/>
        <v>0</v>
      </c>
      <c r="N7" s="200">
        <f t="shared" si="2"/>
        <v>71369522</v>
      </c>
    </row>
    <row r="8" spans="1:15" x14ac:dyDescent="0.25">
      <c r="A8" t="s">
        <v>155</v>
      </c>
      <c r="B8" s="53">
        <f>+CALCULODERECURSOS!C52</f>
        <v>3389972.07</v>
      </c>
      <c r="C8" s="53">
        <f>+CALCULODERECURSOS!D52</f>
        <v>2659664.5499999998</v>
      </c>
      <c r="D8" s="53">
        <f>+CALCULODERECURSOS!E52</f>
        <v>5771063.2000000002</v>
      </c>
      <c r="E8" s="53">
        <f>+CALCULODERECURSOS!F52</f>
        <v>4521884.79</v>
      </c>
      <c r="F8" s="53">
        <f>+CALCULODERECURSOS!G52</f>
        <v>3854233.49</v>
      </c>
      <c r="G8" s="53">
        <f>+CALCULODERECURSOS!H52</f>
        <v>4253455.7799999993</v>
      </c>
      <c r="H8" s="53">
        <f>+CALCULODERECURSOS!I52</f>
        <v>0</v>
      </c>
      <c r="I8" s="53">
        <f>+CALCULODERECURSOS!J52</f>
        <v>0</v>
      </c>
      <c r="J8" s="53">
        <f>+CALCULODERECURSOS!K52</f>
        <v>0</v>
      </c>
      <c r="K8" s="53">
        <f>+CALCULODERECURSOS!L52</f>
        <v>0</v>
      </c>
      <c r="L8" s="53">
        <f>+CALCULODERECURSOS!M52</f>
        <v>0</v>
      </c>
      <c r="M8" s="53">
        <f>+CALCULODERECURSOS!N52</f>
        <v>0</v>
      </c>
      <c r="N8" s="199">
        <f t="shared" si="2"/>
        <v>24450273.880000003</v>
      </c>
    </row>
    <row r="9" spans="1:15" x14ac:dyDescent="0.25">
      <c r="A9" t="s">
        <v>156</v>
      </c>
      <c r="B9" s="53">
        <f>+CALCULODERECURSOS!C57</f>
        <v>10049855.860000001</v>
      </c>
      <c r="C9" s="53">
        <f>+CALCULODERECURSOS!D57</f>
        <v>7165496.1200000001</v>
      </c>
      <c r="D9" s="53">
        <f>+CALCULODERECURSOS!E57</f>
        <v>3698964.26</v>
      </c>
      <c r="E9" s="53">
        <f>+CALCULODERECURSOS!F57</f>
        <v>10501063.200000001</v>
      </c>
      <c r="F9" s="53">
        <f>+CALCULODERECURSOS!G57</f>
        <v>7125431.3900000006</v>
      </c>
      <c r="G9" s="53">
        <f>+CALCULODERECURSOS!H57</f>
        <v>8378437.29</v>
      </c>
      <c r="H9" s="53">
        <f>+CALCULODERECURSOS!I57</f>
        <v>0</v>
      </c>
      <c r="I9" s="53">
        <f>+CALCULODERECURSOS!J57</f>
        <v>0</v>
      </c>
      <c r="J9" s="53">
        <f>+CALCULODERECURSOS!K57</f>
        <v>0</v>
      </c>
      <c r="K9" s="53">
        <f>+CALCULODERECURSOS!L57</f>
        <v>0</v>
      </c>
      <c r="L9" s="53">
        <f>+CALCULODERECURSOS!M57</f>
        <v>0</v>
      </c>
      <c r="M9" s="53">
        <f>+CALCULODERECURSOS!N57</f>
        <v>0</v>
      </c>
      <c r="N9" s="199">
        <f t="shared" si="2"/>
        <v>46919248.120000005</v>
      </c>
    </row>
    <row r="10" spans="1:15" x14ac:dyDescent="0.25">
      <c r="A10" s="49" t="s">
        <v>157</v>
      </c>
      <c r="B10" s="50">
        <f t="shared" ref="B10:M10" si="4">SUM(B11:B14)</f>
        <v>10260968.17</v>
      </c>
      <c r="C10" s="50">
        <f t="shared" si="4"/>
        <v>13142320.229999999</v>
      </c>
      <c r="D10" s="50">
        <f t="shared" si="4"/>
        <v>14976118.510000002</v>
      </c>
      <c r="E10" s="50">
        <f t="shared" si="4"/>
        <v>15780008.98</v>
      </c>
      <c r="F10" s="50">
        <f t="shared" si="4"/>
        <v>15422990.369999999</v>
      </c>
      <c r="G10" s="50">
        <f t="shared" si="4"/>
        <v>20062402.660000004</v>
      </c>
      <c r="H10" s="50">
        <f t="shared" si="4"/>
        <v>0</v>
      </c>
      <c r="I10" s="50">
        <f t="shared" si="4"/>
        <v>0</v>
      </c>
      <c r="J10" s="50">
        <f t="shared" si="4"/>
        <v>0</v>
      </c>
      <c r="K10" s="50">
        <f t="shared" si="4"/>
        <v>0</v>
      </c>
      <c r="L10" s="50">
        <f t="shared" si="4"/>
        <v>0</v>
      </c>
      <c r="M10" s="50">
        <f t="shared" si="4"/>
        <v>0</v>
      </c>
      <c r="N10" s="198">
        <f t="shared" si="2"/>
        <v>89644808.920000017</v>
      </c>
    </row>
    <row r="11" spans="1:15" x14ac:dyDescent="0.25">
      <c r="A11" t="s">
        <v>158</v>
      </c>
      <c r="B11" s="53">
        <f>+EJECICIONEROGACIONES!C6</f>
        <v>8164768.0900000008</v>
      </c>
      <c r="C11" s="53">
        <f>+EJECICIONEROGACIONES!D6</f>
        <v>8550906.6199999992</v>
      </c>
      <c r="D11" s="53">
        <f>+EJECICIONEROGACIONES!E6</f>
        <v>8887585.9400000013</v>
      </c>
      <c r="E11" s="53">
        <f>+EJECICIONEROGACIONES!F6</f>
        <v>8826747.0600000005</v>
      </c>
      <c r="F11" s="53">
        <f>+EJECICIONEROGACIONES!G6</f>
        <v>8917169.8100000005</v>
      </c>
      <c r="G11" s="53">
        <f>+EJECICIONEROGACIONES!H6</f>
        <v>11679895.920000002</v>
      </c>
      <c r="H11" s="53">
        <f>+EJECICIONEROGACIONES!I6</f>
        <v>0</v>
      </c>
      <c r="I11" s="53">
        <f>+EJECICIONEROGACIONES!J6</f>
        <v>0</v>
      </c>
      <c r="J11" s="53">
        <f>+EJECICIONEROGACIONES!K6</f>
        <v>0</v>
      </c>
      <c r="K11" s="53">
        <f>+EJECICIONEROGACIONES!L6</f>
        <v>0</v>
      </c>
      <c r="L11" s="53">
        <f>+EJECICIONEROGACIONES!M6</f>
        <v>0</v>
      </c>
      <c r="M11" s="53">
        <f>+EJECICIONEROGACIONES!N6</f>
        <v>0</v>
      </c>
      <c r="N11" s="199">
        <f t="shared" si="2"/>
        <v>55027073.440000005</v>
      </c>
    </row>
    <row r="12" spans="1:15" x14ac:dyDescent="0.25">
      <c r="A12" t="s">
        <v>159</v>
      </c>
      <c r="B12" s="53">
        <f>+EJECICIONEROGACIONES!C39</f>
        <v>1987983.05</v>
      </c>
      <c r="C12" s="53">
        <f>+EJECICIONEROGACIONES!D39</f>
        <v>4448985.5299999993</v>
      </c>
      <c r="D12" s="53">
        <f>+EJECICIONEROGACIONES!E39</f>
        <v>5790575.4900000002</v>
      </c>
      <c r="E12" s="53">
        <f>+EJECICIONEROGACIONES!F39</f>
        <v>6674571.4199999999</v>
      </c>
      <c r="F12" s="53">
        <f>+EJECICIONEROGACIONES!G39</f>
        <v>6034248.5199999996</v>
      </c>
      <c r="G12" s="53">
        <f>+EJECICIONEROGACIONES!H39</f>
        <v>7928370.5499999998</v>
      </c>
      <c r="H12" s="53">
        <f>+EJECICIONEROGACIONES!I39</f>
        <v>0</v>
      </c>
      <c r="I12" s="53">
        <f>+EJECICIONEROGACIONES!J39</f>
        <v>0</v>
      </c>
      <c r="J12" s="53">
        <f>+EJECICIONEROGACIONES!K39</f>
        <v>0</v>
      </c>
      <c r="K12" s="53">
        <f>+EJECICIONEROGACIONES!L39</f>
        <v>0</v>
      </c>
      <c r="L12" s="53">
        <f>+EJECICIONEROGACIONES!M39</f>
        <v>0</v>
      </c>
      <c r="M12" s="53">
        <f>+EJECICIONEROGACIONES!N39</f>
        <v>0</v>
      </c>
      <c r="N12" s="199">
        <f t="shared" si="2"/>
        <v>32864734.560000002</v>
      </c>
    </row>
    <row r="13" spans="1:15" x14ac:dyDescent="0.25">
      <c r="A13" t="s">
        <v>160</v>
      </c>
      <c r="B13" s="53">
        <f>+EJECICIONEROGACIONES!C42</f>
        <v>28481.53</v>
      </c>
      <c r="C13" s="53">
        <f>+EJECICIONEROGACIONES!D42</f>
        <v>29118.83</v>
      </c>
      <c r="D13" s="53">
        <f>+EJECICIONEROGACIONES!E42</f>
        <v>21797.23</v>
      </c>
      <c r="E13" s="53">
        <f>+EJECICIONEROGACIONES!F42</f>
        <v>22923.09</v>
      </c>
      <c r="F13" s="53">
        <f>+EJECICIONEROGACIONES!G42</f>
        <v>21918</v>
      </c>
      <c r="G13" s="53">
        <f>+EJECICIONEROGACIONES!H42</f>
        <v>21031.85</v>
      </c>
      <c r="H13" s="53">
        <f>+EJECICIONEROGACIONES!I42</f>
        <v>0</v>
      </c>
      <c r="I13" s="53">
        <f>+EJECICIONEROGACIONES!J42</f>
        <v>0</v>
      </c>
      <c r="J13" s="53">
        <f>+EJECICIONEROGACIONES!K42</f>
        <v>0</v>
      </c>
      <c r="K13" s="53">
        <f>+EJECICIONEROGACIONES!L42</f>
        <v>0</v>
      </c>
      <c r="L13" s="53">
        <f>+EJECICIONEROGACIONES!M42</f>
        <v>0</v>
      </c>
      <c r="M13" s="53">
        <f>+EJECICIONEROGACIONES!N42</f>
        <v>0</v>
      </c>
      <c r="N13" s="199">
        <f t="shared" si="2"/>
        <v>145270.53</v>
      </c>
    </row>
    <row r="14" spans="1:15" ht="15.75" thickBot="1" x14ac:dyDescent="0.3">
      <c r="A14" t="s">
        <v>161</v>
      </c>
      <c r="B14" s="53">
        <f>+EJECICIONEROGACIONES!C44</f>
        <v>79735.5</v>
      </c>
      <c r="C14" s="53">
        <f>+EJECICIONEROGACIONES!D44</f>
        <v>113309.25</v>
      </c>
      <c r="D14" s="53">
        <f>+EJECICIONEROGACIONES!E44</f>
        <v>276159.84999999998</v>
      </c>
      <c r="E14" s="53">
        <f>+EJECICIONEROGACIONES!F44</f>
        <v>255767.41</v>
      </c>
      <c r="F14" s="53">
        <f>+EJECICIONEROGACIONES!G44</f>
        <v>449654.04</v>
      </c>
      <c r="G14" s="53">
        <f>+EJECICIONEROGACIONES!H44</f>
        <v>433104.34</v>
      </c>
      <c r="H14" s="53">
        <f>+EJECICIONEROGACIONES!I44</f>
        <v>0</v>
      </c>
      <c r="I14" s="53">
        <f>+EJECICIONEROGACIONES!J44</f>
        <v>0</v>
      </c>
      <c r="J14" s="53">
        <f>+EJECICIONEROGACIONES!K44</f>
        <v>0</v>
      </c>
      <c r="K14" s="53">
        <f>+EJECICIONEROGACIONES!L44</f>
        <v>0</v>
      </c>
      <c r="L14" s="53">
        <f>+EJECICIONEROGACIONES!M44</f>
        <v>0</v>
      </c>
      <c r="M14" s="53">
        <f>+EJECICIONEROGACIONES!N44</f>
        <v>0</v>
      </c>
      <c r="N14" s="199">
        <f t="shared" si="2"/>
        <v>1607730.3900000001</v>
      </c>
    </row>
    <row r="15" spans="1:15" ht="15.75" thickBot="1" x14ac:dyDescent="0.3">
      <c r="A15" s="187" t="s">
        <v>163</v>
      </c>
      <c r="B15" s="188">
        <f t="shared" ref="B15:M15" si="5">+B3-B10</f>
        <v>13483113.300000003</v>
      </c>
      <c r="C15" s="188">
        <f t="shared" si="5"/>
        <v>5643246.9999999981</v>
      </c>
      <c r="D15" s="188">
        <f t="shared" si="5"/>
        <v>4085622.59</v>
      </c>
      <c r="E15" s="188">
        <f t="shared" si="5"/>
        <v>9963995.9600000009</v>
      </c>
      <c r="F15" s="188">
        <f t="shared" si="5"/>
        <v>5846849.7799999993</v>
      </c>
      <c r="G15" s="188">
        <f t="shared" si="5"/>
        <v>4023509.3599999994</v>
      </c>
      <c r="H15" s="188">
        <f t="shared" si="5"/>
        <v>0</v>
      </c>
      <c r="I15" s="188">
        <f t="shared" si="5"/>
        <v>0</v>
      </c>
      <c r="J15" s="188">
        <f t="shared" si="5"/>
        <v>0</v>
      </c>
      <c r="K15" s="188">
        <f t="shared" si="5"/>
        <v>0</v>
      </c>
      <c r="L15" s="188">
        <f t="shared" si="5"/>
        <v>0</v>
      </c>
      <c r="M15" s="188">
        <f t="shared" si="5"/>
        <v>0</v>
      </c>
      <c r="N15" s="201">
        <f t="shared" si="2"/>
        <v>43046337.990000002</v>
      </c>
    </row>
    <row r="16" spans="1:15" x14ac:dyDescent="0.25">
      <c r="A16" s="115" t="s">
        <v>164</v>
      </c>
      <c r="B16" s="192">
        <v>0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202">
        <f t="shared" si="2"/>
        <v>0</v>
      </c>
    </row>
    <row r="17" spans="1:14" x14ac:dyDescent="0.25">
      <c r="A17" s="59" t="s">
        <v>165</v>
      </c>
      <c r="B17" s="61">
        <f>+CALCULODERECURSOS!O61</f>
        <v>0</v>
      </c>
      <c r="C17" s="61">
        <f>+CALCULODERECURSOS!P61</f>
        <v>0</v>
      </c>
      <c r="D17" s="61">
        <f>+CALCULODERECURSOS!Q61</f>
        <v>0</v>
      </c>
      <c r="E17" s="61">
        <f>+CALCULODERECURSOS!R61</f>
        <v>0</v>
      </c>
      <c r="F17" s="61">
        <f>+CALCULODERECURSOS!S61</f>
        <v>0</v>
      </c>
      <c r="G17" s="61">
        <f>+CALCULODERECURSOS!T61</f>
        <v>0</v>
      </c>
      <c r="H17" s="61">
        <f>+CALCULODERECURSOS!U61</f>
        <v>0</v>
      </c>
      <c r="I17" s="61">
        <f>+CALCULODERECURSOS!V61</f>
        <v>0</v>
      </c>
      <c r="J17" s="61">
        <f>+CALCULODERECURSOS!W61</f>
        <v>0</v>
      </c>
      <c r="K17" s="61">
        <f>+CALCULODERECURSOS!X61</f>
        <v>0</v>
      </c>
      <c r="L17" s="61">
        <f>+CALCULODERECURSOS!Y61</f>
        <v>0</v>
      </c>
      <c r="M17" s="61">
        <f>+CALCULODERECURSOS!Z61</f>
        <v>0</v>
      </c>
      <c r="N17" s="199">
        <f t="shared" si="2"/>
        <v>0</v>
      </c>
    </row>
    <row r="18" spans="1:14" x14ac:dyDescent="0.25">
      <c r="A18" s="115" t="s">
        <v>166</v>
      </c>
      <c r="B18" s="192">
        <f>+B20+B19</f>
        <v>87056.01</v>
      </c>
      <c r="C18" s="192">
        <f t="shared" ref="C18:M18" si="6">+C20+C19</f>
        <v>73072.38</v>
      </c>
      <c r="D18" s="192">
        <f t="shared" si="6"/>
        <v>992110</v>
      </c>
      <c r="E18" s="192">
        <f t="shared" si="6"/>
        <v>1946151.9900000002</v>
      </c>
      <c r="F18" s="192">
        <f t="shared" si="6"/>
        <v>1234063.95</v>
      </c>
      <c r="G18" s="192">
        <f t="shared" si="6"/>
        <v>5392710.3899999997</v>
      </c>
      <c r="H18" s="192">
        <f t="shared" si="6"/>
        <v>0</v>
      </c>
      <c r="I18" s="192">
        <f t="shared" si="6"/>
        <v>0</v>
      </c>
      <c r="J18" s="192">
        <f t="shared" si="6"/>
        <v>0</v>
      </c>
      <c r="K18" s="192">
        <f t="shared" si="6"/>
        <v>0</v>
      </c>
      <c r="L18" s="192">
        <f t="shared" si="6"/>
        <v>0</v>
      </c>
      <c r="M18" s="192">
        <f t="shared" si="6"/>
        <v>0</v>
      </c>
      <c r="N18" s="202">
        <f t="shared" si="2"/>
        <v>9725164.7199999988</v>
      </c>
    </row>
    <row r="19" spans="1:14" x14ac:dyDescent="0.25">
      <c r="A19" t="s">
        <v>167</v>
      </c>
      <c r="B19" s="52">
        <f>+EJECICIONEROGACIONES!C50</f>
        <v>87056.01</v>
      </c>
      <c r="C19" s="52">
        <f>+EJECICIONEROGACIONES!D50</f>
        <v>73072.38</v>
      </c>
      <c r="D19" s="52">
        <f>+EJECICIONEROGACIONES!E50</f>
        <v>823945.25</v>
      </c>
      <c r="E19" s="52">
        <f>+EJECICIONEROGACIONES!F50</f>
        <v>192433.14</v>
      </c>
      <c r="F19" s="52">
        <f>+EJECICIONEROGACIONES!G50</f>
        <v>434751.12</v>
      </c>
      <c r="G19" s="52">
        <f>+EJECICIONEROGACIONES!H50</f>
        <v>3996583.88</v>
      </c>
      <c r="H19" s="52">
        <f>+EJECICIONEROGACIONES!I50</f>
        <v>0</v>
      </c>
      <c r="I19" s="52">
        <f>+EJECICIONEROGACIONES!J50</f>
        <v>0</v>
      </c>
      <c r="J19" s="52">
        <f>+EJECICIONEROGACIONES!K50</f>
        <v>0</v>
      </c>
      <c r="K19" s="52">
        <f>+EJECICIONEROGACIONES!L50</f>
        <v>0</v>
      </c>
      <c r="L19" s="52">
        <f>+EJECICIONEROGACIONES!M50</f>
        <v>0</v>
      </c>
      <c r="M19" s="52">
        <f>+EJECICIONEROGACIONES!N50</f>
        <v>0</v>
      </c>
      <c r="N19" s="199">
        <f t="shared" si="2"/>
        <v>5607841.7799999993</v>
      </c>
    </row>
    <row r="20" spans="1:14" x14ac:dyDescent="0.25">
      <c r="A20" t="s">
        <v>168</v>
      </c>
      <c r="B20" s="52">
        <f>+EJECICIONEROGACIONES!C54</f>
        <v>0</v>
      </c>
      <c r="C20" s="52">
        <f>+EJECICIONEROGACIONES!D54</f>
        <v>0</v>
      </c>
      <c r="D20" s="52">
        <f>+EJECICIONEROGACIONES!E54</f>
        <v>168164.75</v>
      </c>
      <c r="E20" s="52">
        <f>+EJECICIONEROGACIONES!F54</f>
        <v>1753718.85</v>
      </c>
      <c r="F20" s="52">
        <f>+EJECICIONEROGACIONES!G54</f>
        <v>799312.83</v>
      </c>
      <c r="G20" s="52">
        <f>+EJECICIONEROGACIONES!H54</f>
        <v>1396126.51</v>
      </c>
      <c r="H20" s="52">
        <f>+EJECICIONEROGACIONES!I54</f>
        <v>0</v>
      </c>
      <c r="I20" s="52">
        <f>+EJECICIONEROGACIONES!J54</f>
        <v>0</v>
      </c>
      <c r="J20" s="52">
        <f>+EJECICIONEROGACIONES!K54</f>
        <v>0</v>
      </c>
      <c r="K20" s="52">
        <f>+EJECICIONEROGACIONES!L54</f>
        <v>0</v>
      </c>
      <c r="L20" s="52">
        <f>+EJECICIONEROGACIONES!M54</f>
        <v>0</v>
      </c>
      <c r="M20" s="52">
        <f>+EJECICIONEROGACIONES!N54</f>
        <v>0</v>
      </c>
      <c r="N20" s="199">
        <f t="shared" si="2"/>
        <v>4117322.9400000004</v>
      </c>
    </row>
    <row r="21" spans="1:14" x14ac:dyDescent="0.25">
      <c r="A21" s="49" t="s">
        <v>169</v>
      </c>
      <c r="B21" s="50">
        <f t="shared" ref="B21:M21" si="7">+B3+B16</f>
        <v>23744081.470000003</v>
      </c>
      <c r="C21" s="50">
        <f t="shared" si="7"/>
        <v>18785567.229999997</v>
      </c>
      <c r="D21" s="50">
        <f t="shared" si="7"/>
        <v>19061741.100000001</v>
      </c>
      <c r="E21" s="50">
        <f t="shared" si="7"/>
        <v>25744004.940000001</v>
      </c>
      <c r="F21" s="50">
        <f t="shared" si="7"/>
        <v>21269840.149999999</v>
      </c>
      <c r="G21" s="50">
        <f t="shared" si="7"/>
        <v>24085912.020000003</v>
      </c>
      <c r="H21" s="50">
        <f t="shared" si="7"/>
        <v>0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198">
        <f t="shared" si="2"/>
        <v>132691146.91000003</v>
      </c>
    </row>
    <row r="22" spans="1:14" ht="15.75" thickBot="1" x14ac:dyDescent="0.3">
      <c r="A22" s="49" t="s">
        <v>170</v>
      </c>
      <c r="B22" s="50">
        <f t="shared" ref="B22:M22" si="8">+B18+B10</f>
        <v>10348024.18</v>
      </c>
      <c r="C22" s="50">
        <f t="shared" si="8"/>
        <v>13215392.609999999</v>
      </c>
      <c r="D22" s="50">
        <f t="shared" si="8"/>
        <v>15968228.510000002</v>
      </c>
      <c r="E22" s="50">
        <f t="shared" si="8"/>
        <v>17726160.969999999</v>
      </c>
      <c r="F22" s="50">
        <f t="shared" si="8"/>
        <v>16657054.319999998</v>
      </c>
      <c r="G22" s="50">
        <f t="shared" si="8"/>
        <v>25455113.050000004</v>
      </c>
      <c r="H22" s="50">
        <f t="shared" si="8"/>
        <v>0</v>
      </c>
      <c r="I22" s="50">
        <f t="shared" si="8"/>
        <v>0</v>
      </c>
      <c r="J22" s="50">
        <f t="shared" si="8"/>
        <v>0</v>
      </c>
      <c r="K22" s="50">
        <f t="shared" si="8"/>
        <v>0</v>
      </c>
      <c r="L22" s="50">
        <f t="shared" si="8"/>
        <v>0</v>
      </c>
      <c r="M22" s="50">
        <f t="shared" si="8"/>
        <v>0</v>
      </c>
      <c r="N22" s="198">
        <f t="shared" si="2"/>
        <v>99369973.639999986</v>
      </c>
    </row>
    <row r="23" spans="1:14" ht="15.75" thickBot="1" x14ac:dyDescent="0.3">
      <c r="A23" s="189" t="s">
        <v>171</v>
      </c>
      <c r="B23" s="188">
        <f>+B21-B22</f>
        <v>13396057.290000003</v>
      </c>
      <c r="C23" s="188">
        <f t="shared" ref="C23:M23" si="9">+C21-C22</f>
        <v>5570174.6199999973</v>
      </c>
      <c r="D23" s="188">
        <f t="shared" si="9"/>
        <v>3093512.59</v>
      </c>
      <c r="E23" s="188">
        <f t="shared" si="9"/>
        <v>8017843.9700000025</v>
      </c>
      <c r="F23" s="188">
        <f t="shared" si="9"/>
        <v>4612785.83</v>
      </c>
      <c r="G23" s="188">
        <f t="shared" si="9"/>
        <v>-1369201.0300000012</v>
      </c>
      <c r="H23" s="188">
        <f t="shared" si="9"/>
        <v>0</v>
      </c>
      <c r="I23" s="188">
        <f t="shared" si="9"/>
        <v>0</v>
      </c>
      <c r="J23" s="188">
        <f t="shared" si="9"/>
        <v>0</v>
      </c>
      <c r="K23" s="188">
        <f t="shared" si="9"/>
        <v>0</v>
      </c>
      <c r="L23" s="188">
        <f t="shared" si="9"/>
        <v>0</v>
      </c>
      <c r="M23" s="188">
        <f t="shared" si="9"/>
        <v>0</v>
      </c>
      <c r="N23" s="201">
        <f t="shared" si="2"/>
        <v>33321173.270000003</v>
      </c>
    </row>
    <row r="24" spans="1:14" x14ac:dyDescent="0.25">
      <c r="A24" s="62" t="s">
        <v>172</v>
      </c>
      <c r="B24" s="63">
        <f>SUM(B25:B27)</f>
        <v>0</v>
      </c>
      <c r="C24" s="63">
        <f t="shared" ref="C24:M24" si="10">SUM(C25:C27)</f>
        <v>0</v>
      </c>
      <c r="D24" s="63">
        <f t="shared" si="10"/>
        <v>0</v>
      </c>
      <c r="E24" s="63">
        <f t="shared" si="10"/>
        <v>0</v>
      </c>
      <c r="F24" s="63">
        <f t="shared" si="10"/>
        <v>0</v>
      </c>
      <c r="G24" s="63">
        <f t="shared" si="10"/>
        <v>0</v>
      </c>
      <c r="H24" s="63">
        <f t="shared" si="10"/>
        <v>0</v>
      </c>
      <c r="I24" s="63">
        <f t="shared" si="10"/>
        <v>0</v>
      </c>
      <c r="J24" s="63">
        <f t="shared" si="10"/>
        <v>0</v>
      </c>
      <c r="K24" s="63">
        <f t="shared" si="10"/>
        <v>0</v>
      </c>
      <c r="L24" s="63">
        <f t="shared" si="10"/>
        <v>0</v>
      </c>
      <c r="M24" s="63">
        <f t="shared" si="10"/>
        <v>0</v>
      </c>
      <c r="N24" s="203">
        <f t="shared" si="2"/>
        <v>0</v>
      </c>
    </row>
    <row r="25" spans="1:14" x14ac:dyDescent="0.25">
      <c r="A25" t="s">
        <v>173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99">
        <f t="shared" si="2"/>
        <v>0</v>
      </c>
    </row>
    <row r="26" spans="1:14" x14ac:dyDescent="0.25">
      <c r="A26" s="59" t="s">
        <v>89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99">
        <f t="shared" si="2"/>
        <v>0</v>
      </c>
    </row>
    <row r="27" spans="1:14" x14ac:dyDescent="0.25">
      <c r="A27" t="s">
        <v>174</v>
      </c>
      <c r="B27" s="52">
        <f>+CALCULODERECURSOS!C60</f>
        <v>0</v>
      </c>
      <c r="C27" s="52">
        <f>+CALCULODERECURSOS!D60</f>
        <v>0</v>
      </c>
      <c r="D27" s="52">
        <f>+CALCULODERECURSOS!E60</f>
        <v>0</v>
      </c>
      <c r="E27" s="52">
        <f>+CALCULODERECURSOS!F60</f>
        <v>0</v>
      </c>
      <c r="F27" s="52">
        <f>+CALCULODERECURSOS!G60</f>
        <v>0</v>
      </c>
      <c r="G27" s="52">
        <f>+CALCULODERECURSOS!H60</f>
        <v>0</v>
      </c>
      <c r="H27" s="52">
        <f>+CALCULODERECURSOS!I60</f>
        <v>0</v>
      </c>
      <c r="I27" s="52">
        <f>+CALCULODERECURSOS!J60</f>
        <v>0</v>
      </c>
      <c r="J27" s="52">
        <f>+CALCULODERECURSOS!K60</f>
        <v>0</v>
      </c>
      <c r="K27" s="52">
        <f>+CALCULODERECURSOS!L60</f>
        <v>0</v>
      </c>
      <c r="L27" s="52">
        <f>+CALCULODERECURSOS!M60</f>
        <v>0</v>
      </c>
      <c r="M27" s="52">
        <f>+CALCULODERECURSOS!N60</f>
        <v>0</v>
      </c>
      <c r="N27" s="199">
        <f t="shared" si="2"/>
        <v>0</v>
      </c>
    </row>
    <row r="28" spans="1:14" x14ac:dyDescent="0.25">
      <c r="A28" s="115" t="s">
        <v>175</v>
      </c>
      <c r="B28" s="192">
        <f>+B29</f>
        <v>76535.62</v>
      </c>
      <c r="C28" s="192">
        <f t="shared" ref="C28:M28" si="11">+C29</f>
        <v>77494.86</v>
      </c>
      <c r="D28" s="192">
        <f t="shared" si="11"/>
        <v>81826.789999999994</v>
      </c>
      <c r="E28" s="192">
        <f t="shared" si="11"/>
        <v>82527.92</v>
      </c>
      <c r="F28" s="192">
        <f t="shared" si="11"/>
        <v>84295.69</v>
      </c>
      <c r="G28" s="192">
        <f t="shared" si="11"/>
        <v>86141.41</v>
      </c>
      <c r="H28" s="192">
        <f t="shared" si="11"/>
        <v>0</v>
      </c>
      <c r="I28" s="192">
        <f t="shared" si="11"/>
        <v>0</v>
      </c>
      <c r="J28" s="192">
        <f t="shared" si="11"/>
        <v>0</v>
      </c>
      <c r="K28" s="192">
        <f t="shared" si="11"/>
        <v>0</v>
      </c>
      <c r="L28" s="192">
        <f t="shared" si="11"/>
        <v>0</v>
      </c>
      <c r="M28" s="192">
        <f t="shared" si="11"/>
        <v>0</v>
      </c>
      <c r="N28" s="202">
        <f t="shared" si="2"/>
        <v>488822.28999999992</v>
      </c>
    </row>
    <row r="29" spans="1:14" x14ac:dyDescent="0.25">
      <c r="A29" t="s">
        <v>176</v>
      </c>
      <c r="B29" s="52">
        <f>+EJECICIONEROGACIONES!C57</f>
        <v>76535.62</v>
      </c>
      <c r="C29" s="52">
        <f>+EJECICIONEROGACIONES!D57</f>
        <v>77494.86</v>
      </c>
      <c r="D29" s="52">
        <f>+EJECICIONEROGACIONES!E57</f>
        <v>81826.789999999994</v>
      </c>
      <c r="E29" s="52">
        <f>+EJECICIONEROGACIONES!F57</f>
        <v>82527.92</v>
      </c>
      <c r="F29" s="52">
        <f>+EJECICIONEROGACIONES!G57</f>
        <v>84295.69</v>
      </c>
      <c r="G29" s="52">
        <f>+EJECICIONEROGACIONES!H57</f>
        <v>86141.41</v>
      </c>
      <c r="H29" s="52">
        <f>+EJECICIONEROGACIONES!I57</f>
        <v>0</v>
      </c>
      <c r="I29" s="52">
        <f>+EJECICIONEROGACIONES!J57</f>
        <v>0</v>
      </c>
      <c r="J29" s="52">
        <f>+EJECICIONEROGACIONES!K57</f>
        <v>0</v>
      </c>
      <c r="K29" s="52">
        <f>+EJECICIONEROGACIONES!L57</f>
        <v>0</v>
      </c>
      <c r="L29" s="52">
        <f>+EJECICIONEROGACIONES!M57</f>
        <v>0</v>
      </c>
      <c r="M29" s="52">
        <f>+EJECICIONEROGACIONES!N57</f>
        <v>0</v>
      </c>
      <c r="N29" s="199">
        <f t="shared" si="2"/>
        <v>488822.28999999992</v>
      </c>
    </row>
    <row r="30" spans="1:14" ht="15.75" thickBot="1" x14ac:dyDescent="0.3">
      <c r="A30" s="193" t="s">
        <v>177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202">
        <f t="shared" si="2"/>
        <v>0</v>
      </c>
    </row>
    <row r="31" spans="1:14" s="285" customFormat="1" ht="30.75" customHeight="1" thickBot="1" x14ac:dyDescent="0.3">
      <c r="A31" s="286" t="s">
        <v>296</v>
      </c>
      <c r="B31" s="287">
        <f>+B23+B24-B28</f>
        <v>13319521.670000004</v>
      </c>
      <c r="C31" s="287">
        <f t="shared" ref="C31:L31" si="12">+C23+C24-C28</f>
        <v>5492679.759999997</v>
      </c>
      <c r="D31" s="287">
        <f t="shared" si="12"/>
        <v>3011685.8</v>
      </c>
      <c r="E31" s="287">
        <f t="shared" si="12"/>
        <v>7935316.0500000026</v>
      </c>
      <c r="F31" s="287">
        <f t="shared" si="12"/>
        <v>4528490.1399999997</v>
      </c>
      <c r="G31" s="287">
        <f t="shared" si="12"/>
        <v>-1455342.4400000011</v>
      </c>
      <c r="H31" s="287">
        <f t="shared" si="12"/>
        <v>0</v>
      </c>
      <c r="I31" s="287">
        <f t="shared" si="12"/>
        <v>0</v>
      </c>
      <c r="J31" s="287">
        <f t="shared" si="12"/>
        <v>0</v>
      </c>
      <c r="K31" s="287">
        <f t="shared" si="12"/>
        <v>0</v>
      </c>
      <c r="L31" s="287">
        <f t="shared" si="12"/>
        <v>0</v>
      </c>
      <c r="M31" s="287">
        <f t="shared" ref="M31" si="13">+M23+M24-M28</f>
        <v>0</v>
      </c>
      <c r="N31" s="288">
        <f t="shared" si="2"/>
        <v>32832350.98</v>
      </c>
    </row>
    <row r="32" spans="1:14" ht="15.75" x14ac:dyDescent="0.25">
      <c r="A32" s="211" t="s">
        <v>179</v>
      </c>
      <c r="B32" s="211"/>
    </row>
    <row r="33" spans="1:14" x14ac:dyDescent="0.25">
      <c r="A33" s="194" t="s">
        <v>180</v>
      </c>
      <c r="B33" s="67">
        <f t="shared" ref="B33:G33" si="14">+B4/B3</f>
        <v>0.43397145318167574</v>
      </c>
      <c r="C33" s="67">
        <f t="shared" si="14"/>
        <v>0.4769835507383825</v>
      </c>
      <c r="D33" s="67">
        <f t="shared" si="14"/>
        <v>0.50319189572876954</v>
      </c>
      <c r="E33" s="67">
        <f t="shared" si="14"/>
        <v>0.41644868290644443</v>
      </c>
      <c r="F33" s="67">
        <f t="shared" si="14"/>
        <v>0.48379184786680213</v>
      </c>
      <c r="G33" s="67">
        <f t="shared" si="14"/>
        <v>0.47554848413001882</v>
      </c>
      <c r="N33" s="67">
        <f t="shared" ref="N33" si="15">+N4/N3</f>
        <v>0.46213802757762285</v>
      </c>
    </row>
    <row r="34" spans="1:14" x14ac:dyDescent="0.25">
      <c r="A34" s="195" t="s">
        <v>181</v>
      </c>
      <c r="B34" s="69">
        <f t="shared" ref="B34:G34" si="16">+B11/B10</f>
        <v>0.79571127740863079</v>
      </c>
      <c r="C34" s="69">
        <f t="shared" si="16"/>
        <v>0.65063904016589313</v>
      </c>
      <c r="D34" s="69">
        <f t="shared" si="16"/>
        <v>0.59345056157678611</v>
      </c>
      <c r="E34" s="69">
        <f t="shared" si="16"/>
        <v>0.55936261323978032</v>
      </c>
      <c r="F34" s="69">
        <f t="shared" si="16"/>
        <v>0.57817385578773473</v>
      </c>
      <c r="G34" s="69">
        <f t="shared" si="16"/>
        <v>0.58217832220500354</v>
      </c>
      <c r="N34" s="204">
        <f t="shared" ref="N34" si="17">+N11/N10</f>
        <v>0.61383446630029359</v>
      </c>
    </row>
    <row r="35" spans="1:14" ht="18" x14ac:dyDescent="0.25">
      <c r="A35" s="194" t="s">
        <v>182</v>
      </c>
      <c r="B35" s="71">
        <f t="shared" ref="B35:G35" si="18">+B12/B10</f>
        <v>0.19374224898311912</v>
      </c>
      <c r="C35" s="71">
        <f t="shared" si="18"/>
        <v>0.3385235979750586</v>
      </c>
      <c r="D35" s="71">
        <f t="shared" si="18"/>
        <v>0.3866539575079791</v>
      </c>
      <c r="E35" s="71">
        <f t="shared" si="18"/>
        <v>0.42297640188034924</v>
      </c>
      <c r="F35" s="71">
        <f t="shared" si="18"/>
        <v>0.39125022938077603</v>
      </c>
      <c r="G35" s="71">
        <f t="shared" si="18"/>
        <v>0.39518549619220922</v>
      </c>
      <c r="N35" s="71">
        <f t="shared" ref="N35" si="19">+N12/N10</f>
        <v>0.36661057071724967</v>
      </c>
    </row>
    <row r="36" spans="1:14" x14ac:dyDescent="0.25">
      <c r="A36" s="195" t="s">
        <v>183</v>
      </c>
      <c r="B36" s="69">
        <f t="shared" ref="B36:G36" si="20">+B23/B3</f>
        <v>0.56418511311652775</v>
      </c>
      <c r="C36" s="69">
        <f t="shared" si="20"/>
        <v>0.29651351762775591</v>
      </c>
      <c r="D36" s="69">
        <f t="shared" si="20"/>
        <v>0.16228908858698116</v>
      </c>
      <c r="E36" s="69">
        <f t="shared" si="20"/>
        <v>0.31144509134016668</v>
      </c>
      <c r="F36" s="69">
        <f t="shared" si="20"/>
        <v>0.21686979297773426</v>
      </c>
      <c r="G36" s="69">
        <f t="shared" si="20"/>
        <v>-5.6846551164974363E-2</v>
      </c>
      <c r="N36" s="204">
        <f>+N23/N3</f>
        <v>0.25111828517542806</v>
      </c>
    </row>
    <row r="37" spans="1:14" x14ac:dyDescent="0.25">
      <c r="A37" s="194" t="s">
        <v>184</v>
      </c>
      <c r="B37" s="67">
        <f t="shared" ref="B37:G37" si="21">+B31/B21</f>
        <v>0.56096175743116683</v>
      </c>
      <c r="C37" s="67">
        <f t="shared" si="21"/>
        <v>0.29238828366216962</v>
      </c>
      <c r="D37" s="67">
        <f t="shared" si="21"/>
        <v>0.15799636477068715</v>
      </c>
      <c r="E37" s="67">
        <f t="shared" si="21"/>
        <v>0.30823937722566341</v>
      </c>
      <c r="F37" s="67">
        <f t="shared" si="21"/>
        <v>0.21290663719445019</v>
      </c>
      <c r="G37" s="67">
        <f t="shared" si="21"/>
        <v>-6.0422974176420702E-2</v>
      </c>
      <c r="N37" s="67">
        <f t="shared" ref="N37" si="22">+N31/N21</f>
        <v>0.24743437482132163</v>
      </c>
    </row>
    <row r="38" spans="1:14" x14ac:dyDescent="0.25">
      <c r="A38" s="196" t="s">
        <v>185</v>
      </c>
      <c r="B38" s="73">
        <f t="shared" ref="B38:G38" si="23">+B10/B21</f>
        <v>0.43214845699398619</v>
      </c>
      <c r="C38" s="73">
        <f t="shared" si="23"/>
        <v>0.69959666743584414</v>
      </c>
      <c r="D38" s="73">
        <f t="shared" si="23"/>
        <v>0.78566372460068723</v>
      </c>
      <c r="E38" s="73">
        <f t="shared" si="23"/>
        <v>0.61295859042823819</v>
      </c>
      <c r="F38" s="73">
        <f t="shared" si="23"/>
        <v>0.72511077945266078</v>
      </c>
      <c r="G38" s="73">
        <f t="shared" si="23"/>
        <v>0.83295175384436204</v>
      </c>
      <c r="N38" s="73">
        <f>+N10/N21</f>
        <v>0.6755899772333952</v>
      </c>
    </row>
    <row r="87" spans="1:14" ht="28.5" x14ac:dyDescent="0.35">
      <c r="A87" s="177" t="s">
        <v>272</v>
      </c>
      <c r="B87" s="178"/>
      <c r="C87" s="179"/>
      <c r="D87" s="179"/>
      <c r="E87" s="179"/>
      <c r="F87" s="179"/>
      <c r="G87" s="179"/>
      <c r="L87" s="180"/>
    </row>
    <row r="88" spans="1:14" ht="34.5" x14ac:dyDescent="0.25">
      <c r="B88" s="176" t="s">
        <v>69</v>
      </c>
      <c r="C88" s="175" t="s">
        <v>70</v>
      </c>
      <c r="D88" s="176" t="s">
        <v>71</v>
      </c>
      <c r="E88" s="175" t="s">
        <v>73</v>
      </c>
      <c r="F88" s="176" t="s">
        <v>74</v>
      </c>
      <c r="G88" s="175" t="s">
        <v>75</v>
      </c>
      <c r="H88" s="176" t="s">
        <v>76</v>
      </c>
      <c r="I88" s="175" t="s">
        <v>77</v>
      </c>
      <c r="J88" s="176" t="s">
        <v>269</v>
      </c>
      <c r="K88" s="175" t="s">
        <v>79</v>
      </c>
      <c r="L88" s="176" t="s">
        <v>80</v>
      </c>
      <c r="M88" s="175" t="s">
        <v>81</v>
      </c>
    </row>
    <row r="89" spans="1:14" x14ac:dyDescent="0.25">
      <c r="A89" s="49" t="s">
        <v>4</v>
      </c>
      <c r="B89" s="51">
        <f>+B90+B93</f>
        <v>15865659.84</v>
      </c>
      <c r="C89" s="51">
        <f>+C91+C93</f>
        <v>11813511.780000001</v>
      </c>
      <c r="D89" s="51">
        <f>+D91+D93</f>
        <v>17570222.32</v>
      </c>
      <c r="E89" s="51">
        <f>+E91+E93</f>
        <v>13971958.16</v>
      </c>
      <c r="F89" s="51">
        <f>+E91+F93</f>
        <v>18106293.969999999</v>
      </c>
      <c r="G89" s="51">
        <f>+G91+G93</f>
        <v>15818426.27</v>
      </c>
      <c r="H89" s="51">
        <f t="shared" ref="H89:M89" si="24">+H90+H93</f>
        <v>0</v>
      </c>
      <c r="I89" s="51">
        <f t="shared" si="24"/>
        <v>0</v>
      </c>
      <c r="J89" s="51">
        <f t="shared" si="24"/>
        <v>0</v>
      </c>
      <c r="K89" s="51">
        <f t="shared" si="24"/>
        <v>0</v>
      </c>
      <c r="L89" s="51">
        <f t="shared" si="24"/>
        <v>0</v>
      </c>
      <c r="M89" s="51">
        <f t="shared" si="24"/>
        <v>0</v>
      </c>
      <c r="N89" s="198">
        <f>SUM(B89:M89)</f>
        <v>93146072.339999989</v>
      </c>
    </row>
    <row r="90" spans="1:14" x14ac:dyDescent="0.25">
      <c r="A90" t="s">
        <v>151</v>
      </c>
      <c r="B90" s="53">
        <f>SUM(B91:B92)</f>
        <v>7233253.8200000003</v>
      </c>
      <c r="C90" s="53">
        <f t="shared" ref="C90:G90" si="25">SUM(C91:C92)</f>
        <v>7757730.0899999999</v>
      </c>
      <c r="D90" s="53">
        <f t="shared" si="25"/>
        <v>8742499.0600000005</v>
      </c>
      <c r="E90" s="53">
        <f t="shared" si="25"/>
        <v>9397363.7400000002</v>
      </c>
      <c r="F90" s="53">
        <f t="shared" si="25"/>
        <v>6529923.9500000002</v>
      </c>
      <c r="G90" s="53">
        <f t="shared" si="25"/>
        <v>9468876.1999999993</v>
      </c>
      <c r="H90" s="53">
        <f t="shared" ref="H90:M90" si="26">SUM(H91:H92)</f>
        <v>0</v>
      </c>
      <c r="I90" s="53">
        <f t="shared" si="26"/>
        <v>0</v>
      </c>
      <c r="J90" s="53">
        <f t="shared" si="26"/>
        <v>0</v>
      </c>
      <c r="K90" s="53">
        <f t="shared" si="26"/>
        <v>0</v>
      </c>
      <c r="L90" s="53">
        <f t="shared" si="26"/>
        <v>0</v>
      </c>
      <c r="M90" s="53">
        <f t="shared" si="26"/>
        <v>0</v>
      </c>
      <c r="N90" s="199">
        <f t="shared" ref="N90:N117" si="27">SUM(B90:M90)</f>
        <v>49129646.859999999</v>
      </c>
    </row>
    <row r="91" spans="1:14" x14ac:dyDescent="0.25">
      <c r="A91" t="s">
        <v>152</v>
      </c>
      <c r="B91" s="53">
        <v>5980137.9199999999</v>
      </c>
      <c r="C91" s="53">
        <v>6752125.0700000003</v>
      </c>
      <c r="D91" s="53">
        <v>7804862.8200000003</v>
      </c>
      <c r="E91" s="53">
        <v>8603934.5500000007</v>
      </c>
      <c r="F91" s="53">
        <v>5576016.9000000004</v>
      </c>
      <c r="G91" s="53">
        <v>8585294.9299999997</v>
      </c>
      <c r="H91" s="53">
        <f>+CALCULODERECURSOS!I96</f>
        <v>0</v>
      </c>
      <c r="I91" s="53">
        <f>+CALCULODERECURSOS!J96</f>
        <v>0</v>
      </c>
      <c r="J91" s="53">
        <f>+CALCULODERECURSOS!K96</f>
        <v>0</v>
      </c>
      <c r="K91" s="53">
        <f>+CALCULODERECURSOS!L96</f>
        <v>0</v>
      </c>
      <c r="L91" s="53">
        <f>+CALCULODERECURSOS!M96</f>
        <v>0</v>
      </c>
      <c r="M91" s="53">
        <f>+CALCULODERECURSOS!N96</f>
        <v>0</v>
      </c>
      <c r="N91" s="199">
        <f t="shared" si="27"/>
        <v>43302372.190000005</v>
      </c>
    </row>
    <row r="92" spans="1:14" x14ac:dyDescent="0.25">
      <c r="A92" t="s">
        <v>153</v>
      </c>
      <c r="B92" s="53">
        <v>1253115.8999999999</v>
      </c>
      <c r="C92" s="53">
        <v>1005605.02</v>
      </c>
      <c r="D92" s="53">
        <v>937636.24</v>
      </c>
      <c r="E92" s="53">
        <v>793429.19</v>
      </c>
      <c r="F92" s="53">
        <v>953907.05</v>
      </c>
      <c r="G92" s="53">
        <v>883581.27</v>
      </c>
      <c r="H92" s="53">
        <f>+CALCULODERECURSOS!I123</f>
        <v>0</v>
      </c>
      <c r="I92" s="53">
        <f>+CALCULODERECURSOS!J123</f>
        <v>0</v>
      </c>
      <c r="J92" s="53">
        <f>+CALCULODERECURSOS!K123</f>
        <v>0</v>
      </c>
      <c r="K92" s="53">
        <f>+CALCULODERECURSOS!L123</f>
        <v>0</v>
      </c>
      <c r="L92" s="53">
        <f>+CALCULODERECURSOS!M123</f>
        <v>0</v>
      </c>
      <c r="M92" s="53">
        <f>+CALCULODERECURSOS!N123</f>
        <v>0</v>
      </c>
      <c r="N92" s="199">
        <f t="shared" si="27"/>
        <v>5827274.6699999999</v>
      </c>
    </row>
    <row r="93" spans="1:14" x14ac:dyDescent="0.25">
      <c r="A93" s="179" t="s">
        <v>154</v>
      </c>
      <c r="B93" s="186">
        <f>SUM(B94:B95)</f>
        <v>8632406.0199999996</v>
      </c>
      <c r="C93" s="186">
        <f t="shared" ref="C93:M93" si="28">SUM(C94:C95)</f>
        <v>5061386.71</v>
      </c>
      <c r="D93" s="186">
        <f t="shared" si="28"/>
        <v>9765359.5</v>
      </c>
      <c r="E93" s="186">
        <f t="shared" si="28"/>
        <v>5368023.6099999994</v>
      </c>
      <c r="F93" s="186">
        <f t="shared" si="28"/>
        <v>9502359.4199999999</v>
      </c>
      <c r="G93" s="186">
        <f t="shared" si="28"/>
        <v>7233131.3399999999</v>
      </c>
      <c r="H93" s="186">
        <f t="shared" si="28"/>
        <v>0</v>
      </c>
      <c r="I93" s="186">
        <f t="shared" si="28"/>
        <v>0</v>
      </c>
      <c r="J93" s="186">
        <f t="shared" si="28"/>
        <v>0</v>
      </c>
      <c r="K93" s="186">
        <f t="shared" si="28"/>
        <v>0</v>
      </c>
      <c r="L93" s="186">
        <f t="shared" si="28"/>
        <v>0</v>
      </c>
      <c r="M93" s="186">
        <f t="shared" si="28"/>
        <v>0</v>
      </c>
      <c r="N93" s="200">
        <f t="shared" si="27"/>
        <v>45562666.599999994</v>
      </c>
    </row>
    <row r="94" spans="1:14" x14ac:dyDescent="0.25">
      <c r="A94" t="s">
        <v>155</v>
      </c>
      <c r="B94" s="53">
        <v>3120398.46</v>
      </c>
      <c r="C94" s="53">
        <v>1922270.33</v>
      </c>
      <c r="D94" s="53">
        <v>6114032.1100000003</v>
      </c>
      <c r="E94" s="53">
        <v>1582411.44</v>
      </c>
      <c r="F94" s="53">
        <v>3596537.01</v>
      </c>
      <c r="G94" s="53">
        <v>2834688.26</v>
      </c>
      <c r="H94" s="53">
        <f>+CALCULODERECURSOS!I138</f>
        <v>0</v>
      </c>
      <c r="I94" s="53">
        <f>+CALCULODERECURSOS!J138</f>
        <v>0</v>
      </c>
      <c r="J94" s="53">
        <f>+CALCULODERECURSOS!K138</f>
        <v>0</v>
      </c>
      <c r="K94" s="53">
        <f>+CALCULODERECURSOS!L138</f>
        <v>0</v>
      </c>
      <c r="L94" s="53">
        <f>+CALCULODERECURSOS!M138</f>
        <v>0</v>
      </c>
      <c r="M94" s="53">
        <f>+CALCULODERECURSOS!N138</f>
        <v>0</v>
      </c>
      <c r="N94" s="199">
        <f t="shared" si="27"/>
        <v>19170337.609999999</v>
      </c>
    </row>
    <row r="95" spans="1:14" x14ac:dyDescent="0.25">
      <c r="A95" t="s">
        <v>156</v>
      </c>
      <c r="B95" s="53">
        <v>5512007.5599999996</v>
      </c>
      <c r="C95" s="53">
        <v>3139116.38</v>
      </c>
      <c r="D95" s="53">
        <v>3651327.39</v>
      </c>
      <c r="E95" s="53">
        <v>3785612.17</v>
      </c>
      <c r="F95" s="53">
        <v>5905822.4100000001</v>
      </c>
      <c r="G95" s="53">
        <v>4398443.08</v>
      </c>
      <c r="H95" s="53">
        <f>+CALCULODERECURSOS!I143</f>
        <v>0</v>
      </c>
      <c r="I95" s="53">
        <f>+CALCULODERECURSOS!J143</f>
        <v>0</v>
      </c>
      <c r="J95" s="53">
        <f>+CALCULODERECURSOS!K143</f>
        <v>0</v>
      </c>
      <c r="K95" s="53">
        <f>+CALCULODERECURSOS!L143</f>
        <v>0</v>
      </c>
      <c r="L95" s="53">
        <f>+CALCULODERECURSOS!M143</f>
        <v>0</v>
      </c>
      <c r="M95" s="53">
        <f>+CALCULODERECURSOS!N143</f>
        <v>0</v>
      </c>
      <c r="N95" s="199">
        <f t="shared" si="27"/>
        <v>26392328.990000002</v>
      </c>
    </row>
    <row r="96" spans="1:14" x14ac:dyDescent="0.25">
      <c r="A96" s="49" t="s">
        <v>157</v>
      </c>
      <c r="B96" s="50">
        <f t="shared" ref="B96:M96" si="29">SUM(B97:B100)</f>
        <v>9126143.9499999993</v>
      </c>
      <c r="C96" s="50">
        <f t="shared" si="29"/>
        <v>13000682.02</v>
      </c>
      <c r="D96" s="50">
        <f t="shared" si="29"/>
        <v>15229296.76</v>
      </c>
      <c r="E96" s="50">
        <f t="shared" si="29"/>
        <v>13559606.120000001</v>
      </c>
      <c r="F96" s="50">
        <f t="shared" si="29"/>
        <v>11784456.110000001</v>
      </c>
      <c r="G96" s="50">
        <f t="shared" si="29"/>
        <v>18081302.819999997</v>
      </c>
      <c r="H96" s="50">
        <f t="shared" si="29"/>
        <v>0</v>
      </c>
      <c r="I96" s="50">
        <f t="shared" si="29"/>
        <v>0</v>
      </c>
      <c r="J96" s="50">
        <f t="shared" si="29"/>
        <v>0</v>
      </c>
      <c r="K96" s="50">
        <f t="shared" si="29"/>
        <v>0</v>
      </c>
      <c r="L96" s="50">
        <f t="shared" si="29"/>
        <v>0</v>
      </c>
      <c r="M96" s="50">
        <f t="shared" si="29"/>
        <v>0</v>
      </c>
      <c r="N96" s="198">
        <f t="shared" si="27"/>
        <v>80781487.779999986</v>
      </c>
    </row>
    <row r="97" spans="1:14" x14ac:dyDescent="0.25">
      <c r="A97" t="s">
        <v>158</v>
      </c>
      <c r="B97" s="53">
        <v>6706819.9000000004</v>
      </c>
      <c r="C97" s="53">
        <v>6751197.79</v>
      </c>
      <c r="D97" s="53">
        <v>7165555.1399999997</v>
      </c>
      <c r="E97" s="53">
        <v>7333671.7199999997</v>
      </c>
      <c r="F97" s="53">
        <v>7599826.1900000004</v>
      </c>
      <c r="G97" s="53">
        <v>9871068.8599999994</v>
      </c>
      <c r="H97" s="53">
        <f>+EJECICIONEROGACIONES!I92</f>
        <v>0</v>
      </c>
      <c r="I97" s="53">
        <f>+EJECICIONEROGACIONES!J92</f>
        <v>0</v>
      </c>
      <c r="J97" s="53">
        <f>+EJECICIONEROGACIONES!K92</f>
        <v>0</v>
      </c>
      <c r="K97" s="53">
        <f>+EJECICIONEROGACIONES!L92</f>
        <v>0</v>
      </c>
      <c r="L97" s="53">
        <f>+EJECICIONEROGACIONES!M92</f>
        <v>0</v>
      </c>
      <c r="M97" s="53">
        <f>+EJECICIONEROGACIONES!N92</f>
        <v>0</v>
      </c>
      <c r="N97" s="199">
        <f t="shared" si="27"/>
        <v>45428139.600000001</v>
      </c>
    </row>
    <row r="98" spans="1:14" x14ac:dyDescent="0.25">
      <c r="A98" t="s">
        <v>159</v>
      </c>
      <c r="B98" s="53">
        <v>2234716.17</v>
      </c>
      <c r="C98" s="53">
        <v>5956790.8799999999</v>
      </c>
      <c r="D98" s="53">
        <v>7510668.9400000004</v>
      </c>
      <c r="E98" s="53">
        <v>5913397.6500000004</v>
      </c>
      <c r="F98" s="53">
        <v>3872396.75</v>
      </c>
      <c r="G98" s="53">
        <v>8027713.4500000002</v>
      </c>
      <c r="H98" s="53">
        <f>+EJECICIONEROGACIONES!I125</f>
        <v>0</v>
      </c>
      <c r="I98" s="53">
        <f>+EJECICIONEROGACIONES!J125</f>
        <v>0</v>
      </c>
      <c r="J98" s="53">
        <f>+EJECICIONEROGACIONES!K125</f>
        <v>0</v>
      </c>
      <c r="K98" s="53">
        <f>+EJECICIONEROGACIONES!L125</f>
        <v>0</v>
      </c>
      <c r="L98" s="53">
        <f>+EJECICIONEROGACIONES!M125</f>
        <v>0</v>
      </c>
      <c r="M98" s="53">
        <f>+EJECICIONEROGACIONES!N125</f>
        <v>0</v>
      </c>
      <c r="N98" s="199">
        <f t="shared" si="27"/>
        <v>33515683.84</v>
      </c>
    </row>
    <row r="99" spans="1:14" x14ac:dyDescent="0.25">
      <c r="A99" t="s">
        <v>160</v>
      </c>
      <c r="B99" s="53">
        <v>37488.04</v>
      </c>
      <c r="C99" s="53">
        <v>39157</v>
      </c>
      <c r="D99" s="53">
        <v>35016.83</v>
      </c>
      <c r="E99" s="53">
        <v>37348.39</v>
      </c>
      <c r="F99" s="53">
        <v>35001.050000000003</v>
      </c>
      <c r="G99" s="53">
        <v>36266.269999999997</v>
      </c>
      <c r="H99" s="53">
        <f>+EJECICIONEROGACIONES!I128</f>
        <v>0</v>
      </c>
      <c r="I99" s="53">
        <f>+EJECICIONEROGACIONES!J128</f>
        <v>0</v>
      </c>
      <c r="J99" s="53">
        <f>+EJECICIONEROGACIONES!K128</f>
        <v>0</v>
      </c>
      <c r="K99" s="53">
        <f>+EJECICIONEROGACIONES!L128</f>
        <v>0</v>
      </c>
      <c r="L99" s="53">
        <f>+EJECICIONEROGACIONES!M128</f>
        <v>0</v>
      </c>
      <c r="M99" s="53">
        <f>+EJECICIONEROGACIONES!N128</f>
        <v>0</v>
      </c>
      <c r="N99" s="199">
        <f t="shared" si="27"/>
        <v>220277.58</v>
      </c>
    </row>
    <row r="100" spans="1:14" ht="15.75" thickBot="1" x14ac:dyDescent="0.3">
      <c r="A100" t="s">
        <v>161</v>
      </c>
      <c r="B100" s="53">
        <v>147119.84</v>
      </c>
      <c r="C100" s="53">
        <v>253536.35</v>
      </c>
      <c r="D100" s="53">
        <v>518055.85</v>
      </c>
      <c r="E100" s="53">
        <v>275188.36</v>
      </c>
      <c r="F100" s="53">
        <v>277232.12</v>
      </c>
      <c r="G100" s="53">
        <v>146254.24</v>
      </c>
      <c r="H100" s="53">
        <f>+EJECICIONEROGACIONES!I130</f>
        <v>0</v>
      </c>
      <c r="I100" s="53">
        <f>+EJECICIONEROGACIONES!J130</f>
        <v>0</v>
      </c>
      <c r="J100" s="53">
        <f>+EJECICIONEROGACIONES!K130</f>
        <v>0</v>
      </c>
      <c r="K100" s="53">
        <f>+EJECICIONEROGACIONES!L130</f>
        <v>0</v>
      </c>
      <c r="L100" s="53">
        <f>+EJECICIONEROGACIONES!M130</f>
        <v>0</v>
      </c>
      <c r="M100" s="53">
        <f>+EJECICIONEROGACIONES!N130</f>
        <v>0</v>
      </c>
      <c r="N100" s="199">
        <f t="shared" si="27"/>
        <v>1617386.76</v>
      </c>
    </row>
    <row r="101" spans="1:14" ht="15.75" thickBot="1" x14ac:dyDescent="0.3">
      <c r="A101" s="187" t="s">
        <v>163</v>
      </c>
      <c r="B101" s="188">
        <f t="shared" ref="B101:M101" si="30">+B89-B96</f>
        <v>6739515.8900000006</v>
      </c>
      <c r="C101" s="188">
        <f t="shared" si="30"/>
        <v>-1187170.2399999984</v>
      </c>
      <c r="D101" s="188">
        <f t="shared" si="30"/>
        <v>2340925.5600000005</v>
      </c>
      <c r="E101" s="188">
        <f t="shared" si="30"/>
        <v>412352.03999999911</v>
      </c>
      <c r="F101" s="188">
        <f t="shared" si="30"/>
        <v>6321837.8599999975</v>
      </c>
      <c r="G101" s="188">
        <f t="shared" si="30"/>
        <v>-2262876.549999997</v>
      </c>
      <c r="H101" s="188">
        <f t="shared" si="30"/>
        <v>0</v>
      </c>
      <c r="I101" s="188">
        <f t="shared" si="30"/>
        <v>0</v>
      </c>
      <c r="J101" s="188">
        <f t="shared" si="30"/>
        <v>0</v>
      </c>
      <c r="K101" s="188">
        <f t="shared" si="30"/>
        <v>0</v>
      </c>
      <c r="L101" s="188">
        <f t="shared" si="30"/>
        <v>0</v>
      </c>
      <c r="M101" s="188">
        <f t="shared" si="30"/>
        <v>0</v>
      </c>
      <c r="N101" s="201">
        <f t="shared" si="27"/>
        <v>12364584.560000002</v>
      </c>
    </row>
    <row r="102" spans="1:14" x14ac:dyDescent="0.25">
      <c r="A102" s="179" t="s">
        <v>164</v>
      </c>
      <c r="B102" s="191">
        <v>0</v>
      </c>
      <c r="C102" s="191">
        <v>0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200">
        <f t="shared" si="27"/>
        <v>0</v>
      </c>
    </row>
    <row r="103" spans="1:14" x14ac:dyDescent="0.25">
      <c r="A103" s="59" t="s">
        <v>165</v>
      </c>
      <c r="B103" s="61">
        <f>+CALCULODERECURSOS!O147</f>
        <v>0</v>
      </c>
      <c r="C103" s="61">
        <f>+CALCULODERECURSOS!P147</f>
        <v>0</v>
      </c>
      <c r="D103" s="61">
        <f>+CALCULODERECURSOS!Q147</f>
        <v>0</v>
      </c>
      <c r="E103" s="61">
        <f>+CALCULODERECURSOS!R147</f>
        <v>0</v>
      </c>
      <c r="F103" s="61">
        <f>+CALCULODERECURSOS!S147</f>
        <v>0</v>
      </c>
      <c r="G103" s="61">
        <f>+CALCULODERECURSOS!T147</f>
        <v>0</v>
      </c>
      <c r="H103" s="61">
        <f>+CALCULODERECURSOS!U147</f>
        <v>0</v>
      </c>
      <c r="I103" s="61">
        <f>+CALCULODERECURSOS!V147</f>
        <v>0</v>
      </c>
      <c r="J103" s="61">
        <f>+CALCULODERECURSOS!W147</f>
        <v>0</v>
      </c>
      <c r="K103" s="61">
        <f>+CALCULODERECURSOS!X147</f>
        <v>0</v>
      </c>
      <c r="L103" s="61">
        <f>+CALCULODERECURSOS!Y147</f>
        <v>0</v>
      </c>
      <c r="M103" s="61">
        <f>+CALCULODERECURSOS!Z147</f>
        <v>0</v>
      </c>
      <c r="N103" s="199">
        <f t="shared" si="27"/>
        <v>0</v>
      </c>
    </row>
    <row r="104" spans="1:14" x14ac:dyDescent="0.25">
      <c r="A104" s="115" t="s">
        <v>166</v>
      </c>
      <c r="B104" s="192">
        <f>+B106+B105</f>
        <v>1840124.32</v>
      </c>
      <c r="C104" s="192">
        <f t="shared" ref="C104:M104" si="31">+C106+C105</f>
        <v>1250378.6099999999</v>
      </c>
      <c r="D104" s="192">
        <f t="shared" si="31"/>
        <v>5063886.58</v>
      </c>
      <c r="E104" s="192">
        <f t="shared" si="31"/>
        <v>2947177.5799999996</v>
      </c>
      <c r="F104" s="192">
        <f t="shared" si="31"/>
        <v>2436121.79</v>
      </c>
      <c r="G104" s="192">
        <f t="shared" si="31"/>
        <v>3788395.41</v>
      </c>
      <c r="H104" s="192">
        <f t="shared" si="31"/>
        <v>0</v>
      </c>
      <c r="I104" s="192">
        <f t="shared" si="31"/>
        <v>0</v>
      </c>
      <c r="J104" s="192">
        <f t="shared" si="31"/>
        <v>0</v>
      </c>
      <c r="K104" s="192">
        <f t="shared" si="31"/>
        <v>0</v>
      </c>
      <c r="L104" s="192">
        <f t="shared" si="31"/>
        <v>0</v>
      </c>
      <c r="M104" s="192">
        <f t="shared" si="31"/>
        <v>0</v>
      </c>
      <c r="N104" s="202">
        <f t="shared" si="27"/>
        <v>17326084.289999999</v>
      </c>
    </row>
    <row r="105" spans="1:14" x14ac:dyDescent="0.25">
      <c r="A105" t="s">
        <v>167</v>
      </c>
      <c r="B105" s="52">
        <v>14349.02</v>
      </c>
      <c r="C105" s="52">
        <v>161666.70000000001</v>
      </c>
      <c r="D105" s="52">
        <v>1811071.05</v>
      </c>
      <c r="E105" s="52">
        <v>233343.03</v>
      </c>
      <c r="F105" s="52">
        <v>293415.76</v>
      </c>
      <c r="G105" s="52">
        <v>454895.81</v>
      </c>
      <c r="H105" s="52">
        <f>+EJECICIONEROGACIONES!I136</f>
        <v>0</v>
      </c>
      <c r="I105" s="52">
        <f>+EJECICIONEROGACIONES!J136</f>
        <v>0</v>
      </c>
      <c r="J105" s="52">
        <f>+EJECICIONEROGACIONES!K136</f>
        <v>0</v>
      </c>
      <c r="K105" s="52">
        <f>+EJECICIONEROGACIONES!L136</f>
        <v>0</v>
      </c>
      <c r="L105" s="52">
        <f>+EJECICIONEROGACIONES!M136</f>
        <v>0</v>
      </c>
      <c r="M105" s="52">
        <f>+EJECICIONEROGACIONES!N136</f>
        <v>0</v>
      </c>
      <c r="N105" s="199">
        <f t="shared" si="27"/>
        <v>2968741.3699999996</v>
      </c>
    </row>
    <row r="106" spans="1:14" x14ac:dyDescent="0.25">
      <c r="A106" t="s">
        <v>168</v>
      </c>
      <c r="B106" s="52">
        <v>1825775.3</v>
      </c>
      <c r="C106" s="52">
        <v>1088711.9099999999</v>
      </c>
      <c r="D106" s="52">
        <v>3252815.53</v>
      </c>
      <c r="E106" s="52">
        <v>2713834.55</v>
      </c>
      <c r="F106" s="52">
        <v>2142706.0299999998</v>
      </c>
      <c r="G106" s="52">
        <v>3333499.6</v>
      </c>
      <c r="H106" s="52">
        <f>+EJECICIONEROGACIONES!I140</f>
        <v>0</v>
      </c>
      <c r="I106" s="52">
        <f>+EJECICIONEROGACIONES!J140</f>
        <v>0</v>
      </c>
      <c r="J106" s="52">
        <f>+EJECICIONEROGACIONES!K140</f>
        <v>0</v>
      </c>
      <c r="K106" s="52">
        <f>+EJECICIONEROGACIONES!L140</f>
        <v>0</v>
      </c>
      <c r="L106" s="52">
        <f>+EJECICIONEROGACIONES!M140</f>
        <v>0</v>
      </c>
      <c r="M106" s="52">
        <f>+EJECICIONEROGACIONES!N140</f>
        <v>0</v>
      </c>
      <c r="N106" s="199">
        <f t="shared" si="27"/>
        <v>14357342.919999998</v>
      </c>
    </row>
    <row r="107" spans="1:14" x14ac:dyDescent="0.25">
      <c r="A107" s="49" t="s">
        <v>169</v>
      </c>
      <c r="B107" s="50">
        <f t="shared" ref="B107:M107" si="32">+B89+B102</f>
        <v>15865659.84</v>
      </c>
      <c r="C107" s="50">
        <f t="shared" si="32"/>
        <v>11813511.780000001</v>
      </c>
      <c r="D107" s="50">
        <f t="shared" si="32"/>
        <v>17570222.32</v>
      </c>
      <c r="E107" s="50">
        <f t="shared" si="32"/>
        <v>13971958.16</v>
      </c>
      <c r="F107" s="50">
        <f t="shared" si="32"/>
        <v>18106293.969999999</v>
      </c>
      <c r="G107" s="50">
        <f t="shared" si="32"/>
        <v>15818426.27</v>
      </c>
      <c r="H107" s="50">
        <f t="shared" si="32"/>
        <v>0</v>
      </c>
      <c r="I107" s="50">
        <f t="shared" si="32"/>
        <v>0</v>
      </c>
      <c r="J107" s="50">
        <f t="shared" si="32"/>
        <v>0</v>
      </c>
      <c r="K107" s="50">
        <f t="shared" si="32"/>
        <v>0</v>
      </c>
      <c r="L107" s="50">
        <f t="shared" si="32"/>
        <v>0</v>
      </c>
      <c r="M107" s="50">
        <f t="shared" si="32"/>
        <v>0</v>
      </c>
      <c r="N107" s="199">
        <f t="shared" si="27"/>
        <v>93146072.339999989</v>
      </c>
    </row>
    <row r="108" spans="1:14" ht="15.75" thickBot="1" x14ac:dyDescent="0.3">
      <c r="A108" s="49" t="s">
        <v>170</v>
      </c>
      <c r="B108" s="50">
        <f t="shared" ref="B108:M108" si="33">+B104+B96</f>
        <v>10966268.27</v>
      </c>
      <c r="C108" s="50">
        <f t="shared" si="33"/>
        <v>14251060.629999999</v>
      </c>
      <c r="D108" s="50">
        <f t="shared" si="33"/>
        <v>20293183.34</v>
      </c>
      <c r="E108" s="50">
        <f t="shared" si="33"/>
        <v>16506783.700000001</v>
      </c>
      <c r="F108" s="50">
        <f t="shared" si="33"/>
        <v>14220577.900000002</v>
      </c>
      <c r="G108" s="50">
        <f t="shared" si="33"/>
        <v>21869698.229999997</v>
      </c>
      <c r="H108" s="50">
        <f t="shared" si="33"/>
        <v>0</v>
      </c>
      <c r="I108" s="50">
        <f t="shared" si="33"/>
        <v>0</v>
      </c>
      <c r="J108" s="50">
        <f t="shared" si="33"/>
        <v>0</v>
      </c>
      <c r="K108" s="50">
        <f t="shared" si="33"/>
        <v>0</v>
      </c>
      <c r="L108" s="50">
        <f t="shared" si="33"/>
        <v>0</v>
      </c>
      <c r="M108" s="50">
        <f t="shared" si="33"/>
        <v>0</v>
      </c>
      <c r="N108" s="199">
        <f t="shared" si="27"/>
        <v>98107572.069999993</v>
      </c>
    </row>
    <row r="109" spans="1:14" ht="15.75" thickBot="1" x14ac:dyDescent="0.3">
      <c r="A109" s="189" t="s">
        <v>171</v>
      </c>
      <c r="B109" s="190">
        <f>+B107-B108</f>
        <v>4899391.57</v>
      </c>
      <c r="C109" s="190">
        <f t="shared" ref="C109:M109" si="34">+C107-C108</f>
        <v>-2437548.8499999978</v>
      </c>
      <c r="D109" s="190">
        <f t="shared" si="34"/>
        <v>-2722961.0199999996</v>
      </c>
      <c r="E109" s="190">
        <f t="shared" si="34"/>
        <v>-2534825.540000001</v>
      </c>
      <c r="F109" s="190">
        <f t="shared" si="34"/>
        <v>3885716.0699999966</v>
      </c>
      <c r="G109" s="190">
        <f t="shared" si="34"/>
        <v>-6051271.9599999972</v>
      </c>
      <c r="H109" s="190">
        <f t="shared" si="34"/>
        <v>0</v>
      </c>
      <c r="I109" s="190">
        <f t="shared" si="34"/>
        <v>0</v>
      </c>
      <c r="J109" s="190">
        <f t="shared" si="34"/>
        <v>0</v>
      </c>
      <c r="K109" s="190">
        <f t="shared" si="34"/>
        <v>0</v>
      </c>
      <c r="L109" s="190">
        <f t="shared" si="34"/>
        <v>0</v>
      </c>
      <c r="M109" s="190">
        <f t="shared" si="34"/>
        <v>0</v>
      </c>
      <c r="N109" s="201">
        <f t="shared" si="27"/>
        <v>-4961499.7299999986</v>
      </c>
    </row>
    <row r="110" spans="1:14" x14ac:dyDescent="0.25">
      <c r="A110" s="62" t="s">
        <v>172</v>
      </c>
      <c r="B110" s="63">
        <f>SUM(B111:B113)</f>
        <v>579685.74</v>
      </c>
      <c r="C110" s="63">
        <f t="shared" ref="C110:M110" si="35">SUM(C111:C113)</f>
        <v>415567.75</v>
      </c>
      <c r="D110" s="63">
        <f t="shared" si="35"/>
        <v>218699.21</v>
      </c>
      <c r="E110" s="63">
        <f t="shared" si="35"/>
        <v>1721623.4</v>
      </c>
      <c r="F110" s="63">
        <f t="shared" si="35"/>
        <v>998764.25</v>
      </c>
      <c r="G110" s="63">
        <f t="shared" si="35"/>
        <v>2333086.2000000002</v>
      </c>
      <c r="H110" s="63">
        <f t="shared" si="35"/>
        <v>0</v>
      </c>
      <c r="I110" s="63">
        <f t="shared" si="35"/>
        <v>0</v>
      </c>
      <c r="J110" s="63">
        <f t="shared" si="35"/>
        <v>0</v>
      </c>
      <c r="K110" s="63">
        <f t="shared" si="35"/>
        <v>0</v>
      </c>
      <c r="L110" s="63">
        <f t="shared" si="35"/>
        <v>0</v>
      </c>
      <c r="M110" s="63">
        <f t="shared" si="35"/>
        <v>0</v>
      </c>
      <c r="N110" s="199">
        <f t="shared" si="27"/>
        <v>6267426.5499999998</v>
      </c>
    </row>
    <row r="111" spans="1:14" x14ac:dyDescent="0.25">
      <c r="A111" t="s">
        <v>173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199">
        <f t="shared" si="27"/>
        <v>0</v>
      </c>
    </row>
    <row r="112" spans="1:14" x14ac:dyDescent="0.25">
      <c r="A112" s="59" t="s">
        <v>89</v>
      </c>
      <c r="B112" s="61">
        <v>200645.74</v>
      </c>
      <c r="C112" s="61">
        <v>183911.95</v>
      </c>
      <c r="D112" s="61">
        <v>204222.21</v>
      </c>
      <c r="E112" s="61">
        <v>712022.1</v>
      </c>
      <c r="F112" s="61">
        <v>498764.25</v>
      </c>
      <c r="G112" s="61">
        <v>863559.76</v>
      </c>
      <c r="H112" s="61"/>
      <c r="I112" s="61"/>
      <c r="J112" s="61"/>
      <c r="K112" s="61"/>
      <c r="L112" s="61"/>
      <c r="M112" s="61"/>
      <c r="N112" s="199">
        <f t="shared" si="27"/>
        <v>2663126.0099999998</v>
      </c>
    </row>
    <row r="113" spans="1:14" x14ac:dyDescent="0.25">
      <c r="A113" t="s">
        <v>174</v>
      </c>
      <c r="B113" s="52">
        <f>370000+9040</f>
        <v>379040</v>
      </c>
      <c r="C113" s="52">
        <f>224127.8+7528</f>
        <v>231655.8</v>
      </c>
      <c r="D113" s="52">
        <f>4578+9899</f>
        <v>14477</v>
      </c>
      <c r="E113" s="52">
        <f>149999.1+10600+837297.2+11705</f>
        <v>1009601.2999999999</v>
      </c>
      <c r="F113" s="52">
        <v>500000</v>
      </c>
      <c r="G113" s="52">
        <f>775096.44+4578+675000+14852</f>
        <v>1469526.44</v>
      </c>
      <c r="H113" s="52">
        <f>+CALCULODERECURSOS!I146</f>
        <v>0</v>
      </c>
      <c r="I113" s="52">
        <f>+CALCULODERECURSOS!J146</f>
        <v>0</v>
      </c>
      <c r="J113" s="52">
        <f>+CALCULODERECURSOS!K146</f>
        <v>0</v>
      </c>
      <c r="K113" s="52">
        <f>+CALCULODERECURSOS!L146</f>
        <v>0</v>
      </c>
      <c r="L113" s="52">
        <f>+CALCULODERECURSOS!M146</f>
        <v>0</v>
      </c>
      <c r="M113" s="52">
        <f>+CALCULODERECURSOS!N146</f>
        <v>0</v>
      </c>
      <c r="N113" s="199">
        <f t="shared" si="27"/>
        <v>3604300.54</v>
      </c>
    </row>
    <row r="114" spans="1:14" x14ac:dyDescent="0.25">
      <c r="A114" s="115" t="s">
        <v>175</v>
      </c>
      <c r="B114" s="192">
        <f>+B115</f>
        <v>0</v>
      </c>
      <c r="C114" s="192">
        <f t="shared" ref="C114:M114" si="36">+C115</f>
        <v>0</v>
      </c>
      <c r="D114" s="192">
        <f t="shared" si="36"/>
        <v>0</v>
      </c>
      <c r="E114" s="192">
        <f t="shared" si="36"/>
        <v>0</v>
      </c>
      <c r="F114" s="192">
        <f t="shared" si="36"/>
        <v>0</v>
      </c>
      <c r="G114" s="192">
        <f t="shared" si="36"/>
        <v>0</v>
      </c>
      <c r="H114" s="192">
        <f t="shared" si="36"/>
        <v>0</v>
      </c>
      <c r="I114" s="192">
        <f t="shared" si="36"/>
        <v>0</v>
      </c>
      <c r="J114" s="192">
        <f t="shared" si="36"/>
        <v>0</v>
      </c>
      <c r="K114" s="192">
        <f t="shared" si="36"/>
        <v>0</v>
      </c>
      <c r="L114" s="192">
        <f t="shared" si="36"/>
        <v>0</v>
      </c>
      <c r="M114" s="192">
        <f t="shared" si="36"/>
        <v>0</v>
      </c>
      <c r="N114" s="202">
        <f t="shared" si="27"/>
        <v>0</v>
      </c>
    </row>
    <row r="115" spans="1:14" x14ac:dyDescent="0.25">
      <c r="A115" t="s">
        <v>176</v>
      </c>
      <c r="B115" s="52">
        <f>+EJECICIONEROGACIONES!C143</f>
        <v>0</v>
      </c>
      <c r="C115" s="52">
        <f>+EJECICIONEROGACIONES!D143</f>
        <v>0</v>
      </c>
      <c r="D115" s="52">
        <f>+EJECICIONEROGACIONES!E143</f>
        <v>0</v>
      </c>
      <c r="E115" s="52">
        <f>+EJECICIONEROGACIONES!F143</f>
        <v>0</v>
      </c>
      <c r="F115" s="52">
        <f>+EJECICIONEROGACIONES!G143</f>
        <v>0</v>
      </c>
      <c r="G115" s="52">
        <f>+EJECICIONEROGACIONES!H143</f>
        <v>0</v>
      </c>
      <c r="H115" s="52">
        <f>+EJECICIONEROGACIONES!I143</f>
        <v>0</v>
      </c>
      <c r="I115" s="52">
        <f>+EJECICIONEROGACIONES!J143</f>
        <v>0</v>
      </c>
      <c r="J115" s="52">
        <f>+EJECICIONEROGACIONES!K143</f>
        <v>0</v>
      </c>
      <c r="K115" s="52">
        <f>+EJECICIONEROGACIONES!L143</f>
        <v>0</v>
      </c>
      <c r="L115" s="52">
        <f>+EJECICIONEROGACIONES!M143</f>
        <v>0</v>
      </c>
      <c r="M115" s="52">
        <f>+EJECICIONEROGACIONES!N143</f>
        <v>0</v>
      </c>
      <c r="N115" s="199">
        <f t="shared" si="27"/>
        <v>0</v>
      </c>
    </row>
    <row r="116" spans="1:14" ht="15.75" thickBot="1" x14ac:dyDescent="0.3">
      <c r="A116" s="193" t="s">
        <v>177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202">
        <f t="shared" si="27"/>
        <v>0</v>
      </c>
    </row>
    <row r="117" spans="1:14" ht="30" customHeight="1" thickBot="1" x14ac:dyDescent="0.3">
      <c r="A117" s="289" t="s">
        <v>295</v>
      </c>
      <c r="B117" s="291">
        <f>+B109+B110-B114</f>
        <v>5479077.3100000005</v>
      </c>
      <c r="C117" s="291">
        <f t="shared" ref="C117:M117" si="37">+C109+C110-C114</f>
        <v>-2021981.0999999978</v>
      </c>
      <c r="D117" s="291">
        <f t="shared" si="37"/>
        <v>-2504261.8099999996</v>
      </c>
      <c r="E117" s="291">
        <f t="shared" si="37"/>
        <v>-813202.14000000106</v>
      </c>
      <c r="F117" s="292">
        <f t="shared" si="37"/>
        <v>4884480.3199999966</v>
      </c>
      <c r="G117" s="293">
        <f t="shared" si="37"/>
        <v>-3718185.759999997</v>
      </c>
      <c r="H117" s="290">
        <f t="shared" si="37"/>
        <v>0</v>
      </c>
      <c r="I117" s="290">
        <f t="shared" si="37"/>
        <v>0</v>
      </c>
      <c r="J117" s="290">
        <f t="shared" si="37"/>
        <v>0</v>
      </c>
      <c r="K117" s="290">
        <f t="shared" si="37"/>
        <v>0</v>
      </c>
      <c r="L117" s="290">
        <f t="shared" si="37"/>
        <v>0</v>
      </c>
      <c r="M117" s="290">
        <f t="shared" si="37"/>
        <v>0</v>
      </c>
      <c r="N117" s="288">
        <f t="shared" si="27"/>
        <v>1305926.8200000012</v>
      </c>
    </row>
    <row r="118" spans="1:14" ht="15.75" x14ac:dyDescent="0.25">
      <c r="A118" s="211" t="s">
        <v>179</v>
      </c>
      <c r="B118" s="211"/>
    </row>
    <row r="119" spans="1:14" x14ac:dyDescent="0.25">
      <c r="A119" s="194" t="s">
        <v>180</v>
      </c>
      <c r="B119" s="67">
        <f t="shared" ref="B119" si="38">+B90/B89</f>
        <v>0.45590627133979955</v>
      </c>
      <c r="C119" s="67">
        <f>+C91/C89</f>
        <v>0.57155951555668572</v>
      </c>
      <c r="D119" s="67">
        <f>+D91/D89</f>
        <v>0.44420967918634741</v>
      </c>
      <c r="E119" s="67">
        <f>+E91/E89</f>
        <v>0.61580019432294097</v>
      </c>
      <c r="F119" s="67">
        <f>+E91/F89</f>
        <v>0.47519026059422814</v>
      </c>
      <c r="G119" s="67">
        <f>+G91/G89</f>
        <v>0.54274014263240611</v>
      </c>
      <c r="N119" s="67">
        <f t="shared" ref="N119" si="39">+N90/N89</f>
        <v>0.52744732682520323</v>
      </c>
    </row>
    <row r="120" spans="1:14" x14ac:dyDescent="0.25">
      <c r="A120" s="195" t="s">
        <v>181</v>
      </c>
      <c r="B120" s="69">
        <f t="shared" ref="B120:G120" si="40">+B97/B96</f>
        <v>0.73490183112879792</v>
      </c>
      <c r="C120" s="69">
        <f t="shared" si="40"/>
        <v>0.51929566307475927</v>
      </c>
      <c r="D120" s="69">
        <f t="shared" si="40"/>
        <v>0.47051122930511469</v>
      </c>
      <c r="E120" s="69">
        <f t="shared" si="40"/>
        <v>0.54084695787608905</v>
      </c>
      <c r="F120" s="69">
        <f t="shared" si="40"/>
        <v>0.64490258345915297</v>
      </c>
      <c r="G120" s="69">
        <f t="shared" si="40"/>
        <v>0.5459268592682085</v>
      </c>
      <c r="N120" s="204">
        <f t="shared" ref="N120" si="41">+N97/N96</f>
        <v>0.56235829332233689</v>
      </c>
    </row>
    <row r="121" spans="1:14" ht="18" x14ac:dyDescent="0.25">
      <c r="A121" s="194" t="s">
        <v>182</v>
      </c>
      <c r="B121" s="71">
        <f t="shared" ref="B121:G121" si="42">+B98/B96</f>
        <v>0.24486970425225432</v>
      </c>
      <c r="C121" s="71">
        <f t="shared" si="42"/>
        <v>0.45819064498586975</v>
      </c>
      <c r="D121" s="71">
        <f t="shared" si="42"/>
        <v>0.49317240699694664</v>
      </c>
      <c r="E121" s="71">
        <f t="shared" si="42"/>
        <v>0.43610393972122252</v>
      </c>
      <c r="F121" s="71">
        <f t="shared" si="42"/>
        <v>0.32860207665536456</v>
      </c>
      <c r="G121" s="71">
        <f t="shared" si="42"/>
        <v>0.44397870717150023</v>
      </c>
      <c r="N121" s="71">
        <f t="shared" ref="N121" si="43">+N98/N96</f>
        <v>0.41489312416820662</v>
      </c>
    </row>
    <row r="122" spans="1:14" x14ac:dyDescent="0.25">
      <c r="A122" s="195" t="s">
        <v>183</v>
      </c>
      <c r="B122" s="69">
        <f t="shared" ref="B122:G122" si="44">+B109/B89</f>
        <v>0.30880477833312731</v>
      </c>
      <c r="C122" s="69">
        <f t="shared" si="44"/>
        <v>-0.20633566846115234</v>
      </c>
      <c r="D122" s="69">
        <f t="shared" si="44"/>
        <v>-0.15497590015696508</v>
      </c>
      <c r="E122" s="69">
        <f t="shared" si="44"/>
        <v>-0.18142235404461024</v>
      </c>
      <c r="F122" s="69">
        <f t="shared" si="44"/>
        <v>0.21460582029863048</v>
      </c>
      <c r="G122" s="69">
        <f t="shared" si="44"/>
        <v>-0.38254576382711158</v>
      </c>
      <c r="N122" s="204">
        <f>+N109/N89</f>
        <v>-5.3265796456662483E-2</v>
      </c>
    </row>
    <row r="123" spans="1:14" x14ac:dyDescent="0.25">
      <c r="A123" s="194" t="s">
        <v>184</v>
      </c>
      <c r="B123" s="67">
        <f t="shared" ref="B123:G123" si="45">+B117/B107</f>
        <v>0.34534191236007244</v>
      </c>
      <c r="C123" s="67">
        <f t="shared" si="45"/>
        <v>-0.17115834289200646</v>
      </c>
      <c r="D123" s="67">
        <f t="shared" si="45"/>
        <v>-0.14252874917521247</v>
      </c>
      <c r="E123" s="67">
        <f t="shared" si="45"/>
        <v>-5.8202445976978295E-2</v>
      </c>
      <c r="F123" s="67">
        <f t="shared" si="45"/>
        <v>0.26976698423724954</v>
      </c>
      <c r="G123" s="67">
        <f t="shared" si="45"/>
        <v>-0.23505408796901747</v>
      </c>
      <c r="N123" s="67">
        <f t="shared" ref="N123" si="46">+N117/N107</f>
        <v>1.4020202754584567E-2</v>
      </c>
    </row>
    <row r="124" spans="1:14" x14ac:dyDescent="0.25">
      <c r="A124" s="196" t="s">
        <v>185</v>
      </c>
      <c r="B124" s="73">
        <f t="shared" ref="B124:G124" si="47">+B96/B107</f>
        <v>0.57521364015327325</v>
      </c>
      <c r="C124" s="73">
        <f t="shared" si="47"/>
        <v>1.1004925768144447</v>
      </c>
      <c r="D124" s="73">
        <f t="shared" si="47"/>
        <v>0.86676744793744875</v>
      </c>
      <c r="E124" s="73">
        <f t="shared" si="47"/>
        <v>0.97048716899392728</v>
      </c>
      <c r="F124" s="73">
        <f t="shared" si="47"/>
        <v>0.65084860157056212</v>
      </c>
      <c r="G124" s="73">
        <f t="shared" si="47"/>
        <v>1.1430532033576306</v>
      </c>
      <c r="N124" s="73">
        <f>+N96/N107</f>
        <v>0.86725597495010809</v>
      </c>
    </row>
    <row r="126" spans="1:14" x14ac:dyDescent="0.25">
      <c r="B126" s="181">
        <v>2015</v>
      </c>
      <c r="C126" s="181">
        <v>2016</v>
      </c>
      <c r="D126" s="182" t="s">
        <v>275</v>
      </c>
      <c r="E126" s="182" t="s">
        <v>276</v>
      </c>
      <c r="F126" s="53"/>
      <c r="G126" s="53"/>
      <c r="N126" s="199"/>
    </row>
    <row r="127" spans="1:14" x14ac:dyDescent="0.25">
      <c r="A127" s="111" t="s">
        <v>4</v>
      </c>
      <c r="B127" s="183">
        <f>+N89</f>
        <v>93146072.339999989</v>
      </c>
      <c r="C127" s="183">
        <f>+N3</f>
        <v>132691146.91000003</v>
      </c>
      <c r="D127" s="183">
        <f>+C127-B127</f>
        <v>39545074.570000038</v>
      </c>
      <c r="E127" s="184">
        <f>+D127/B127</f>
        <v>0.42454902903101888</v>
      </c>
      <c r="F127" s="53"/>
      <c r="G127" s="53"/>
      <c r="N127" s="199"/>
    </row>
    <row r="128" spans="1:14" x14ac:dyDescent="0.25">
      <c r="A128" s="111" t="s">
        <v>55</v>
      </c>
      <c r="B128" s="183">
        <f>+N96</f>
        <v>80781487.779999986</v>
      </c>
      <c r="C128" s="183">
        <f>+N10</f>
        <v>89644808.920000017</v>
      </c>
      <c r="D128" s="183">
        <f t="shared" ref="D128:D129" si="48">+C128-B128</f>
        <v>8863321.1400000304</v>
      </c>
      <c r="E128" s="184">
        <f t="shared" ref="E128:E129" si="49">+D128/B128</f>
        <v>0.10971970662558689</v>
      </c>
      <c r="F128" s="53"/>
      <c r="G128" s="53"/>
      <c r="N128" s="199"/>
    </row>
    <row r="129" spans="1:14" x14ac:dyDescent="0.25">
      <c r="A129" s="111" t="s">
        <v>273</v>
      </c>
      <c r="B129" s="183">
        <f>+N104</f>
        <v>17326084.289999999</v>
      </c>
      <c r="C129" s="183">
        <f>+N18</f>
        <v>9725164.7199999988</v>
      </c>
      <c r="D129" s="183">
        <f t="shared" si="48"/>
        <v>-7600919.5700000003</v>
      </c>
      <c r="E129" s="184">
        <f t="shared" si="49"/>
        <v>-0.43869806026437153</v>
      </c>
      <c r="F129" s="53"/>
      <c r="G129" s="53"/>
      <c r="N129" s="199"/>
    </row>
    <row r="130" spans="1:14" x14ac:dyDescent="0.25">
      <c r="A130" s="111" t="s">
        <v>274</v>
      </c>
      <c r="B130" s="183">
        <f>+N109</f>
        <v>-4961499.7299999986</v>
      </c>
      <c r="C130" s="183">
        <f>+N23</f>
        <v>33321173.270000003</v>
      </c>
      <c r="D130" s="183">
        <f>+C130+B130</f>
        <v>28359673.540000007</v>
      </c>
      <c r="E130" s="184">
        <f>+D130/B130*-1</f>
        <v>5.7159478148354177</v>
      </c>
      <c r="F130" s="53"/>
      <c r="G130" s="53"/>
      <c r="N130" s="199"/>
    </row>
    <row r="131" spans="1:14" x14ac:dyDescent="0.25">
      <c r="B131" s="53"/>
      <c r="C131" s="53"/>
      <c r="D131" s="53"/>
      <c r="E131" s="53"/>
      <c r="F131" s="53"/>
      <c r="G131" s="53"/>
      <c r="N131" s="199"/>
    </row>
    <row r="132" spans="1:14" x14ac:dyDescent="0.25">
      <c r="A132" t="s">
        <v>277</v>
      </c>
    </row>
    <row r="133" spans="1:14" x14ac:dyDescent="0.25">
      <c r="A133" s="111" t="str">
        <f>+A127</f>
        <v>RECURSOS CORRIENTES</v>
      </c>
      <c r="B133" s="116">
        <f>+B127*1.3</f>
        <v>121089894.042</v>
      </c>
      <c r="C133" s="185">
        <f>+C127</f>
        <v>132691146.91000003</v>
      </c>
      <c r="D133" s="183">
        <f>+C133-B133</f>
        <v>11601252.868000031</v>
      </c>
      <c r="E133" s="184">
        <f>+D133/B133</f>
        <v>9.5806945408475952E-2</v>
      </c>
      <c r="F133" s="114"/>
      <c r="G133" s="114"/>
      <c r="N133" s="205"/>
    </row>
    <row r="134" spans="1:14" x14ac:dyDescent="0.25">
      <c r="A134" s="111" t="str">
        <f t="shared" ref="A134:A136" si="50">+A128</f>
        <v>EROGACIONES CORRIENTES</v>
      </c>
      <c r="B134" s="116">
        <f>+B128*1.3</f>
        <v>105015934.11399999</v>
      </c>
      <c r="C134" s="185">
        <f t="shared" ref="C134:C136" si="51">+C128</f>
        <v>89644808.920000017</v>
      </c>
      <c r="D134" s="183">
        <f t="shared" ref="D134:D135" si="52">+C134-B134</f>
        <v>-15371125.193999976</v>
      </c>
      <c r="E134" s="184">
        <f t="shared" ref="E134:E135" si="53">+D134/B134</f>
        <v>-0.14636945644185634</v>
      </c>
      <c r="F134" s="114"/>
      <c r="G134" s="114"/>
      <c r="N134" s="205"/>
    </row>
    <row r="135" spans="1:14" x14ac:dyDescent="0.25">
      <c r="A135" s="111" t="str">
        <f t="shared" si="50"/>
        <v>INVERSION</v>
      </c>
      <c r="B135" s="116">
        <f>+B129*1.3</f>
        <v>22523909.577</v>
      </c>
      <c r="C135" s="185">
        <f t="shared" si="51"/>
        <v>9725164.7199999988</v>
      </c>
      <c r="D135" s="183">
        <f t="shared" si="52"/>
        <v>-12798744.857000001</v>
      </c>
      <c r="E135" s="184">
        <f t="shared" si="53"/>
        <v>-0.56822927712643967</v>
      </c>
      <c r="F135" s="114"/>
      <c r="G135" s="114"/>
      <c r="N135" s="205"/>
    </row>
    <row r="136" spans="1:14" x14ac:dyDescent="0.25">
      <c r="A136" s="111" t="str">
        <f t="shared" si="50"/>
        <v>RESULTADO FINANCIERO</v>
      </c>
      <c r="B136" s="116">
        <f>+B130*1.3</f>
        <v>-6449949.6489999983</v>
      </c>
      <c r="C136" s="185">
        <f t="shared" si="51"/>
        <v>33321173.270000003</v>
      </c>
      <c r="D136" s="183">
        <f>+C136+B136</f>
        <v>26871223.621000007</v>
      </c>
      <c r="E136" s="184">
        <f>+D136/B136*-1</f>
        <v>4.1661137037195521</v>
      </c>
      <c r="F136" s="114"/>
      <c r="G136" s="114"/>
      <c r="N136" s="205"/>
    </row>
    <row r="137" spans="1:14" x14ac:dyDescent="0.25">
      <c r="B137" s="114"/>
      <c r="C137" s="114"/>
      <c r="D137" s="114"/>
      <c r="E137" s="114"/>
      <c r="F137" s="114"/>
      <c r="G137" s="114"/>
      <c r="N137" s="205"/>
    </row>
    <row r="138" spans="1:14" x14ac:dyDescent="0.25">
      <c r="A138" s="294"/>
      <c r="B138" s="295" t="s">
        <v>69</v>
      </c>
      <c r="C138" s="295" t="s">
        <v>70</v>
      </c>
      <c r="D138" s="295" t="s">
        <v>71</v>
      </c>
      <c r="E138" s="295" t="s">
        <v>73</v>
      </c>
      <c r="F138" s="295" t="s">
        <v>74</v>
      </c>
      <c r="G138" s="295" t="s">
        <v>75</v>
      </c>
      <c r="H138" s="296"/>
      <c r="I138" s="296"/>
      <c r="J138" s="296"/>
      <c r="K138" s="296"/>
      <c r="L138" s="296"/>
      <c r="M138" s="296"/>
      <c r="N138" s="297" t="s">
        <v>297</v>
      </c>
    </row>
    <row r="139" spans="1:14" x14ac:dyDescent="0.25">
      <c r="A139" s="298" t="str">
        <f>+A31</f>
        <v>RESULTADO FINAL 2016</v>
      </c>
      <c r="B139" s="299">
        <f t="shared" ref="B139:N139" si="54">+B31</f>
        <v>13319521.670000004</v>
      </c>
      <c r="C139" s="299">
        <f t="shared" si="54"/>
        <v>5492679.759999997</v>
      </c>
      <c r="D139" s="299">
        <f t="shared" si="54"/>
        <v>3011685.8</v>
      </c>
      <c r="E139" s="299">
        <f t="shared" si="54"/>
        <v>7935316.0500000026</v>
      </c>
      <c r="F139" s="299">
        <f t="shared" si="54"/>
        <v>4528490.1399999997</v>
      </c>
      <c r="G139" s="299">
        <f t="shared" si="54"/>
        <v>-1455342.4400000011</v>
      </c>
      <c r="H139" s="299">
        <f t="shared" si="54"/>
        <v>0</v>
      </c>
      <c r="I139" s="299">
        <f t="shared" si="54"/>
        <v>0</v>
      </c>
      <c r="J139" s="299">
        <f t="shared" si="54"/>
        <v>0</v>
      </c>
      <c r="K139" s="299">
        <f t="shared" si="54"/>
        <v>0</v>
      </c>
      <c r="L139" s="299">
        <f t="shared" si="54"/>
        <v>0</v>
      </c>
      <c r="M139" s="299">
        <f t="shared" si="54"/>
        <v>0</v>
      </c>
      <c r="N139" s="299">
        <f t="shared" si="54"/>
        <v>32832350.98</v>
      </c>
    </row>
    <row r="140" spans="1:14" x14ac:dyDescent="0.25">
      <c r="A140" s="298" t="str">
        <f>+A117</f>
        <v>RESULTADO FINAL 2015</v>
      </c>
      <c r="B140" s="299">
        <f t="shared" ref="B140:N140" si="55">+B117</f>
        <v>5479077.3100000005</v>
      </c>
      <c r="C140" s="299">
        <f t="shared" si="55"/>
        <v>-2021981.0999999978</v>
      </c>
      <c r="D140" s="299">
        <f t="shared" si="55"/>
        <v>-2504261.8099999996</v>
      </c>
      <c r="E140" s="299">
        <f t="shared" si="55"/>
        <v>-813202.14000000106</v>
      </c>
      <c r="F140" s="299">
        <f t="shared" si="55"/>
        <v>4884480.3199999966</v>
      </c>
      <c r="G140" s="299">
        <f t="shared" si="55"/>
        <v>-3718185.759999997</v>
      </c>
      <c r="H140" s="299">
        <f t="shared" si="55"/>
        <v>0</v>
      </c>
      <c r="I140" s="299">
        <f t="shared" si="55"/>
        <v>0</v>
      </c>
      <c r="J140" s="299">
        <f t="shared" si="55"/>
        <v>0</v>
      </c>
      <c r="K140" s="299">
        <f t="shared" si="55"/>
        <v>0</v>
      </c>
      <c r="L140" s="299">
        <f t="shared" si="55"/>
        <v>0</v>
      </c>
      <c r="M140" s="299">
        <f t="shared" si="55"/>
        <v>0</v>
      </c>
      <c r="N140" s="299">
        <f t="shared" si="55"/>
        <v>1305926.8200000012</v>
      </c>
    </row>
  </sheetData>
  <sheetProtection algorithmName="SHA-512" hashValue="anj0ZfATbP5PHJRLkWNK9t522iKV+RjgFL34SgxPxNqCDZe0hEhNCT4V1nSqQou8Fr+aVPadrTqQUkCLOAAvaQ==" saltValue="9IYxtJuMvvNdfVfCGcGZYw==" spinCount="100000" sheet="1" objects="1" scenarios="1"/>
  <mergeCells count="2">
    <mergeCell ref="A32:B32"/>
    <mergeCell ref="A118:B118"/>
  </mergeCells>
  <conditionalFormatting sqref="B31:G3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{9AAE7AB0-35DA-414C-B623-54D0025B5FF4}</x14:id>
        </ext>
      </extLst>
    </cfRule>
  </conditionalFormatting>
  <conditionalFormatting sqref="B117:G11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{4D13DC64-665C-4F04-B961-F87D612F0C0C}</x14:id>
        </ext>
      </extLst>
    </cfRule>
  </conditionalFormatting>
  <conditionalFormatting sqref="B139:G14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{CFD9B7A8-7461-4D2F-946C-88312A54BD50}</x14:id>
        </ext>
      </extLst>
    </cfRule>
  </conditionalFormatting>
  <hyperlinks>
    <hyperlink ref="B1" location="INDICE!A1" display="Volver índice"/>
    <hyperlink ref="L1" location="INDICE!A1" display="VOLVER AL INDICE"/>
    <hyperlink ref="B87" location="INDICE!A1" display="Volver índice"/>
    <hyperlink ref="O1" location="INDICE!A1" display="volver al inicio"/>
  </hyperlink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AE7AB0-35DA-414C-B623-54D0025B5F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B31:G31</xm:sqref>
        </x14:conditionalFormatting>
        <x14:conditionalFormatting xmlns:xm="http://schemas.microsoft.com/office/excel/2006/main">
          <x14:cfRule type="dataBar" id="{4D13DC64-665C-4F04-B961-F87D612F0C0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B117:G117</xm:sqref>
        </x14:conditionalFormatting>
        <x14:conditionalFormatting xmlns:xm="http://schemas.microsoft.com/office/excel/2006/main">
          <x14:cfRule type="dataBar" id="{CFD9B7A8-7461-4D2F-946C-88312A54BD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B139:G140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INDICE</vt:lpstr>
      <vt:lpstr>CALCULODERECURSOS</vt:lpstr>
      <vt:lpstr>EJECICIONEROGACIONES</vt:lpstr>
      <vt:lpstr>COMPARATIVAANUAL</vt:lpstr>
      <vt:lpstr>GASTOSPRINCIPALESCUENTAS</vt:lpstr>
      <vt:lpstr>DETALLEBIENESYSERVICIOS</vt:lpstr>
      <vt:lpstr>PRINC.TASAS</vt:lpstr>
      <vt:lpstr>COMPRATIVAMENSUAL</vt:lpstr>
      <vt:lpstr>GASTO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</dc:creator>
  <cp:lastModifiedBy>RUBÉN DAL MOLÍN</cp:lastModifiedBy>
  <cp:lastPrinted>2016-06-21T18:16:19Z</cp:lastPrinted>
  <dcterms:created xsi:type="dcterms:W3CDTF">2016-05-04T11:32:41Z</dcterms:created>
  <dcterms:modified xsi:type="dcterms:W3CDTF">2016-07-12T10:19:30Z</dcterms:modified>
</cp:coreProperties>
</file>